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0" yWindow="-15" windowWidth="19140" windowHeight="13155"/>
  </bookViews>
  <sheets>
    <sheet name="財産集計（入力シート） " sheetId="16" r:id="rId1"/>
    <sheet name="税額計算（出力シート） " sheetId="17" r:id="rId2"/>
    <sheet name="申告書記入項目一覧表" sheetId="18" r:id="rId3"/>
  </sheets>
  <definedNames>
    <definedName name="_xlnm.Print_Area" localSheetId="0">'財産集計（入力シート） '!$A$1:$R$105</definedName>
    <definedName name="_xlnm.Print_Area" localSheetId="1">'税額計算（出力シート） '!$A$1:$V$43</definedName>
  </definedNames>
  <calcPr calcId="125725" iterate="1"/>
</workbook>
</file>

<file path=xl/calcChain.xml><?xml version="1.0" encoding="utf-8"?>
<calcChain xmlns="http://schemas.openxmlformats.org/spreadsheetml/2006/main">
  <c r="J5" i="17"/>
  <c r="H458" i="18"/>
  <c r="H457"/>
  <c r="H455"/>
  <c r="F458"/>
  <c r="E708"/>
  <c r="E707"/>
  <c r="F707"/>
  <c r="H717" s="1"/>
  <c r="E706"/>
  <c r="F706" s="1"/>
  <c r="G717" s="1"/>
  <c r="E705"/>
  <c r="F705"/>
  <c r="F717" s="1"/>
  <c r="E704"/>
  <c r="E703"/>
  <c r="F703"/>
  <c r="D717" s="1"/>
  <c r="E702"/>
  <c r="F702" s="1"/>
  <c r="C717" s="1"/>
  <c r="E701"/>
  <c r="F701"/>
  <c r="B717" s="1"/>
  <c r="E700"/>
  <c r="E699"/>
  <c r="F699"/>
  <c r="H711" s="1"/>
  <c r="E698"/>
  <c r="E697"/>
  <c r="F697"/>
  <c r="F711" s="1"/>
  <c r="E696"/>
  <c r="E710" s="1"/>
  <c r="E695"/>
  <c r="D5" i="17"/>
  <c r="I5"/>
  <c r="A320" i="18"/>
  <c r="H5" i="17"/>
  <c r="G5"/>
  <c r="E200" i="18" s="1"/>
  <c r="F5" i="17"/>
  <c r="E5"/>
  <c r="Q5"/>
  <c r="P5"/>
  <c r="O5"/>
  <c r="N5"/>
  <c r="M5"/>
  <c r="L5"/>
  <c r="K5"/>
  <c r="B448" i="18"/>
  <c r="B374"/>
  <c r="A316"/>
  <c r="I4"/>
  <c r="H4"/>
  <c r="G4"/>
  <c r="F4"/>
  <c r="G715"/>
  <c r="H715"/>
  <c r="I715"/>
  <c r="C715"/>
  <c r="D715"/>
  <c r="E715"/>
  <c r="F715"/>
  <c r="B715"/>
  <c r="I709"/>
  <c r="D709"/>
  <c r="B449"/>
  <c r="B375"/>
  <c r="H339"/>
  <c r="B303"/>
  <c r="B304"/>
  <c r="I170"/>
  <c r="I43"/>
  <c r="H43"/>
  <c r="G43"/>
  <c r="F43"/>
  <c r="E43"/>
  <c r="D43"/>
  <c r="C43"/>
  <c r="B43"/>
  <c r="H11"/>
  <c r="G11"/>
  <c r="F11"/>
  <c r="E11"/>
  <c r="D11"/>
  <c r="C11"/>
  <c r="B11"/>
  <c r="I628"/>
  <c r="H620"/>
  <c r="H618"/>
  <c r="H616"/>
  <c r="H614"/>
  <c r="H612"/>
  <c r="H610"/>
  <c r="H608"/>
  <c r="H606"/>
  <c r="H604"/>
  <c r="H602"/>
  <c r="H622"/>
  <c r="G606"/>
  <c r="B606"/>
  <c r="B604"/>
  <c r="B602"/>
  <c r="B608"/>
  <c r="B10"/>
  <c r="B1085"/>
  <c r="C1037"/>
  <c r="C1084"/>
  <c r="D1084"/>
  <c r="E1084"/>
  <c r="F1084"/>
  <c r="G1084"/>
  <c r="H1084"/>
  <c r="B1084"/>
  <c r="H1083"/>
  <c r="C1083"/>
  <c r="D1083"/>
  <c r="E1083"/>
  <c r="F1083"/>
  <c r="G1083"/>
  <c r="B1083"/>
  <c r="J1035" s="1"/>
  <c r="B1035" s="1"/>
  <c r="C1035"/>
  <c r="C1075"/>
  <c r="D1075"/>
  <c r="E1075"/>
  <c r="F1075"/>
  <c r="G1075"/>
  <c r="H1075"/>
  <c r="B1075"/>
  <c r="C1027"/>
  <c r="D1027"/>
  <c r="E1027"/>
  <c r="F1027"/>
  <c r="G1027"/>
  <c r="H1027"/>
  <c r="I1027"/>
  <c r="C1073"/>
  <c r="D1073"/>
  <c r="E1073"/>
  <c r="F1073"/>
  <c r="G1073"/>
  <c r="H1073"/>
  <c r="C1072"/>
  <c r="D1072"/>
  <c r="E1072"/>
  <c r="F1072"/>
  <c r="G1072"/>
  <c r="H1072"/>
  <c r="B1073"/>
  <c r="B1072"/>
  <c r="J1024"/>
  <c r="C1024"/>
  <c r="B1024" s="1"/>
  <c r="C1025"/>
  <c r="C1071"/>
  <c r="D1071"/>
  <c r="E1071"/>
  <c r="F1071"/>
  <c r="G1071"/>
  <c r="H1071"/>
  <c r="B1071"/>
  <c r="C1023"/>
  <c r="C1070"/>
  <c r="D1070"/>
  <c r="E1070"/>
  <c r="F1070"/>
  <c r="G1070"/>
  <c r="H1070"/>
  <c r="B1070"/>
  <c r="C1022"/>
  <c r="C1062"/>
  <c r="D1062"/>
  <c r="E1062"/>
  <c r="F1062"/>
  <c r="G1062"/>
  <c r="H1062"/>
  <c r="B1062"/>
  <c r="C1014"/>
  <c r="C1061"/>
  <c r="C1065" s="1"/>
  <c r="D1061"/>
  <c r="D1065" s="1"/>
  <c r="E1061"/>
  <c r="E1065" s="1"/>
  <c r="F1061"/>
  <c r="F1065"/>
  <c r="G1061"/>
  <c r="G1065"/>
  <c r="H1061"/>
  <c r="H1065" s="1"/>
  <c r="H1078" s="1"/>
  <c r="H1086" s="1"/>
  <c r="H1088" s="1"/>
  <c r="H1089" s="1"/>
  <c r="B1061"/>
  <c r="J1013" s="1"/>
  <c r="C1013"/>
  <c r="C1059"/>
  <c r="D1059"/>
  <c r="E1059"/>
  <c r="F1059"/>
  <c r="G1059"/>
  <c r="H1059"/>
  <c r="B1059"/>
  <c r="C1054"/>
  <c r="D1054"/>
  <c r="E1054"/>
  <c r="F1054"/>
  <c r="G1054"/>
  <c r="H1054"/>
  <c r="B1054"/>
  <c r="C1006"/>
  <c r="D1006"/>
  <c r="E1006"/>
  <c r="F1006"/>
  <c r="G1006"/>
  <c r="H1006"/>
  <c r="I1006"/>
  <c r="I164"/>
  <c r="I163"/>
  <c r="G903"/>
  <c r="F903"/>
  <c r="D153"/>
  <c r="C1087"/>
  <c r="D1087"/>
  <c r="E1087"/>
  <c r="F1087"/>
  <c r="G1087"/>
  <c r="H1087"/>
  <c r="B1087"/>
  <c r="C1039"/>
  <c r="C1085"/>
  <c r="D1085"/>
  <c r="E1085"/>
  <c r="F1085"/>
  <c r="G1085"/>
  <c r="H1085"/>
  <c r="D1037"/>
  <c r="E1037"/>
  <c r="F1037"/>
  <c r="G1037"/>
  <c r="H1037"/>
  <c r="I1037"/>
  <c r="D1014"/>
  <c r="E1014"/>
  <c r="F1014"/>
  <c r="G1014"/>
  <c r="H1014"/>
  <c r="I1014"/>
  <c r="D1011"/>
  <c r="E1011"/>
  <c r="F1011"/>
  <c r="G1011"/>
  <c r="H1011"/>
  <c r="I1011"/>
  <c r="C1011"/>
  <c r="C1049"/>
  <c r="D1049"/>
  <c r="E1049"/>
  <c r="F1049"/>
  <c r="G1049"/>
  <c r="H1049"/>
  <c r="B1049"/>
  <c r="J1001"/>
  <c r="C1001"/>
  <c r="C1048"/>
  <c r="D1048"/>
  <c r="E1048"/>
  <c r="F1048"/>
  <c r="G1048"/>
  <c r="H1048"/>
  <c r="B1048"/>
  <c r="C1000"/>
  <c r="D1000"/>
  <c r="E1000"/>
  <c r="F1000"/>
  <c r="G1000"/>
  <c r="H1000"/>
  <c r="I1000"/>
  <c r="C1047"/>
  <c r="D1047"/>
  <c r="E1047"/>
  <c r="F1047"/>
  <c r="G1047"/>
  <c r="H1047"/>
  <c r="B1047"/>
  <c r="J999" s="1"/>
  <c r="B999" s="1"/>
  <c r="C999"/>
  <c r="C1046"/>
  <c r="D1046"/>
  <c r="D1051"/>
  <c r="E1046"/>
  <c r="E1051"/>
  <c r="E1078" s="1"/>
  <c r="E1086" s="1"/>
  <c r="E1088" s="1"/>
  <c r="E1089" s="1"/>
  <c r="F1046"/>
  <c r="F1051"/>
  <c r="G1046"/>
  <c r="G1051"/>
  <c r="H1046"/>
  <c r="H1051"/>
  <c r="B1046"/>
  <c r="C998"/>
  <c r="C1003" s="1"/>
  <c r="D1039"/>
  <c r="E1039"/>
  <c r="F1039"/>
  <c r="G1039"/>
  <c r="H1039"/>
  <c r="I1039"/>
  <c r="D1013"/>
  <c r="B1013" s="1"/>
  <c r="E1013"/>
  <c r="E1017" s="1"/>
  <c r="F1013"/>
  <c r="F1017" s="1"/>
  <c r="G1013"/>
  <c r="G1017" s="1"/>
  <c r="H1013"/>
  <c r="H1017" s="1"/>
  <c r="H1030" s="1"/>
  <c r="H1038" s="1"/>
  <c r="H1040" s="1"/>
  <c r="H1041" s="1"/>
  <c r="I1013"/>
  <c r="I1017" s="1"/>
  <c r="D1036"/>
  <c r="E1036"/>
  <c r="F1036"/>
  <c r="G1036"/>
  <c r="H1036"/>
  <c r="I1036"/>
  <c r="D1035"/>
  <c r="E1035"/>
  <c r="F1035"/>
  <c r="G1035"/>
  <c r="H1035"/>
  <c r="I1035"/>
  <c r="C1036"/>
  <c r="D1001"/>
  <c r="E1001"/>
  <c r="F1001"/>
  <c r="G1001"/>
  <c r="H1001"/>
  <c r="I1001"/>
  <c r="D999"/>
  <c r="E999"/>
  <c r="F999"/>
  <c r="G999"/>
  <c r="H999"/>
  <c r="I999"/>
  <c r="D998"/>
  <c r="D1003"/>
  <c r="E998"/>
  <c r="F998"/>
  <c r="F1003" s="1"/>
  <c r="F1032" s="1"/>
  <c r="G998"/>
  <c r="H998"/>
  <c r="I998"/>
  <c r="I1003" s="1"/>
  <c r="D1025"/>
  <c r="E1025"/>
  <c r="F1025"/>
  <c r="G1025"/>
  <c r="H1025"/>
  <c r="I1025"/>
  <c r="D1024"/>
  <c r="E1024"/>
  <c r="F1024"/>
  <c r="G1024"/>
  <c r="H1024"/>
  <c r="I1024"/>
  <c r="D1023"/>
  <c r="E1023"/>
  <c r="F1023"/>
  <c r="G1023"/>
  <c r="H1023"/>
  <c r="I1023"/>
  <c r="D1022"/>
  <c r="E1022"/>
  <c r="F1022"/>
  <c r="G1022"/>
  <c r="H1022"/>
  <c r="I1022"/>
  <c r="J1023"/>
  <c r="J1026"/>
  <c r="B1026"/>
  <c r="J1031"/>
  <c r="J1033"/>
  <c r="B1033"/>
  <c r="J1034"/>
  <c r="B1034"/>
  <c r="J1039"/>
  <c r="C1068"/>
  <c r="D1068"/>
  <c r="E1068"/>
  <c r="F1068"/>
  <c r="G1068"/>
  <c r="H1068"/>
  <c r="B1068"/>
  <c r="B1044"/>
  <c r="G1044"/>
  <c r="H1044"/>
  <c r="F1044"/>
  <c r="E1044"/>
  <c r="D1044"/>
  <c r="C1044"/>
  <c r="I996"/>
  <c r="C1076"/>
  <c r="C1077" s="1"/>
  <c r="D1076"/>
  <c r="E1076"/>
  <c r="F1076"/>
  <c r="F1077" s="1"/>
  <c r="G1076"/>
  <c r="G1077" s="1"/>
  <c r="H1076"/>
  <c r="B1076"/>
  <c r="I1028"/>
  <c r="I1029" s="1"/>
  <c r="J1002"/>
  <c r="B1002"/>
  <c r="J1004"/>
  <c r="B1004"/>
  <c r="J1005"/>
  <c r="B1005"/>
  <c r="J1007"/>
  <c r="B1007"/>
  <c r="J1008"/>
  <c r="B1008"/>
  <c r="J1009"/>
  <c r="B1009"/>
  <c r="J1010"/>
  <c r="B1010"/>
  <c r="J1011"/>
  <c r="B1011"/>
  <c r="J1012"/>
  <c r="B1012"/>
  <c r="J1015"/>
  <c r="B1015"/>
  <c r="J1016"/>
  <c r="B1016"/>
  <c r="I1020"/>
  <c r="D1028"/>
  <c r="D1029"/>
  <c r="E1028"/>
  <c r="F1028"/>
  <c r="G1028"/>
  <c r="H1028"/>
  <c r="C1028"/>
  <c r="E37" i="16"/>
  <c r="F37"/>
  <c r="G37"/>
  <c r="H37"/>
  <c r="I37"/>
  <c r="J37"/>
  <c r="K37"/>
  <c r="L37"/>
  <c r="M37"/>
  <c r="N37"/>
  <c r="O37"/>
  <c r="P37"/>
  <c r="Q37"/>
  <c r="E36"/>
  <c r="E40"/>
  <c r="F36"/>
  <c r="G36"/>
  <c r="H36"/>
  <c r="I36"/>
  <c r="J36"/>
  <c r="J40"/>
  <c r="J44"/>
  <c r="K36"/>
  <c r="K40"/>
  <c r="K44"/>
  <c r="L36"/>
  <c r="M36"/>
  <c r="N36"/>
  <c r="O36"/>
  <c r="P36"/>
  <c r="Q36"/>
  <c r="D37"/>
  <c r="D36"/>
  <c r="R8"/>
  <c r="G602" i="18"/>
  <c r="R9" i="16"/>
  <c r="G604" i="18"/>
  <c r="F379"/>
  <c r="F424"/>
  <c r="F423"/>
  <c r="F422"/>
  <c r="H425"/>
  <c r="F380"/>
  <c r="F381" s="1"/>
  <c r="B638"/>
  <c r="B634"/>
  <c r="B616"/>
  <c r="B618"/>
  <c r="B620"/>
  <c r="B622"/>
  <c r="B624"/>
  <c r="B626"/>
  <c r="B628"/>
  <c r="B630"/>
  <c r="B632"/>
  <c r="B636"/>
  <c r="B320"/>
  <c r="B319"/>
  <c r="B316"/>
  <c r="B317"/>
  <c r="B318"/>
  <c r="B308"/>
  <c r="C302"/>
  <c r="B307"/>
  <c r="C195"/>
  <c r="D195"/>
  <c r="E195"/>
  <c r="F195"/>
  <c r="G195"/>
  <c r="H195"/>
  <c r="B195"/>
  <c r="I23"/>
  <c r="B23"/>
  <c r="I60"/>
  <c r="I59"/>
  <c r="I58"/>
  <c r="I56"/>
  <c r="I48"/>
  <c r="I46"/>
  <c r="I45"/>
  <c r="H48"/>
  <c r="H46"/>
  <c r="H45"/>
  <c r="G60"/>
  <c r="G59"/>
  <c r="G58"/>
  <c r="G56"/>
  <c r="G48"/>
  <c r="G46"/>
  <c r="G45"/>
  <c r="F48"/>
  <c r="F46"/>
  <c r="F45"/>
  <c r="E48"/>
  <c r="E46"/>
  <c r="E45"/>
  <c r="D48"/>
  <c r="D46"/>
  <c r="D45"/>
  <c r="C48"/>
  <c r="C46"/>
  <c r="C45"/>
  <c r="C44"/>
  <c r="B48"/>
  <c r="I16"/>
  <c r="B46"/>
  <c r="I14" s="1"/>
  <c r="B45"/>
  <c r="I13"/>
  <c r="B44"/>
  <c r="I67"/>
  <c r="H67"/>
  <c r="H60"/>
  <c r="H59"/>
  <c r="H58"/>
  <c r="H56"/>
  <c r="G67"/>
  <c r="K4" i="17"/>
  <c r="C41" i="18" s="1"/>
  <c r="N4" i="17"/>
  <c r="F41" i="18" s="1"/>
  <c r="O4" i="17"/>
  <c r="G41" i="18" s="1"/>
  <c r="L4" i="17"/>
  <c r="D41" i="18" s="1"/>
  <c r="M4" i="17"/>
  <c r="E41" i="18" s="1"/>
  <c r="K41" i="17"/>
  <c r="C65" i="18" s="1"/>
  <c r="L41" i="17"/>
  <c r="D65" i="18" s="1"/>
  <c r="M41" i="17"/>
  <c r="N41"/>
  <c r="F65" i="18"/>
  <c r="O41" i="17"/>
  <c r="P41"/>
  <c r="H65" i="18" s="1"/>
  <c r="J41" i="17"/>
  <c r="O38"/>
  <c r="G706" i="18"/>
  <c r="G718" s="1"/>
  <c r="P38" i="17"/>
  <c r="G707" i="18" s="1"/>
  <c r="H718" s="1"/>
  <c r="N38" i="17"/>
  <c r="K38"/>
  <c r="G702" i="18" s="1"/>
  <c r="C718" s="1"/>
  <c r="L38" i="17"/>
  <c r="M38"/>
  <c r="G704" i="18" s="1"/>
  <c r="E718" s="1"/>
  <c r="J38" i="17"/>
  <c r="G701" i="18"/>
  <c r="B718" s="1"/>
  <c r="J712" s="1"/>
  <c r="P37" i="17"/>
  <c r="O37"/>
  <c r="G61" i="18"/>
  <c r="N37" i="17"/>
  <c r="M37"/>
  <c r="E61" i="18" s="1"/>
  <c r="E63" s="1"/>
  <c r="L37" i="17"/>
  <c r="D61" i="18" s="1"/>
  <c r="K37" i="17"/>
  <c r="J37"/>
  <c r="K32"/>
  <c r="C57" i="18" s="1"/>
  <c r="L32" i="17"/>
  <c r="D57" i="18" s="1"/>
  <c r="D63" s="1"/>
  <c r="M32" i="17"/>
  <c r="N32"/>
  <c r="O32"/>
  <c r="P32"/>
  <c r="H57" i="18"/>
  <c r="Q32" i="17"/>
  <c r="J32"/>
  <c r="J39" s="1"/>
  <c r="D1031" i="18"/>
  <c r="E1031"/>
  <c r="F1031"/>
  <c r="G1031"/>
  <c r="H1031"/>
  <c r="I1031"/>
  <c r="C1031"/>
  <c r="H1020"/>
  <c r="H996"/>
  <c r="G1020"/>
  <c r="G996"/>
  <c r="F1020"/>
  <c r="F996"/>
  <c r="E1020"/>
  <c r="E996"/>
  <c r="D1020"/>
  <c r="D996"/>
  <c r="C1020"/>
  <c r="C996"/>
  <c r="E709"/>
  <c r="H709"/>
  <c r="G709"/>
  <c r="F709"/>
  <c r="B640"/>
  <c r="B642"/>
  <c r="H628"/>
  <c r="H626"/>
  <c r="H624"/>
  <c r="B610"/>
  <c r="B612"/>
  <c r="B614"/>
  <c r="D597"/>
  <c r="C597"/>
  <c r="D596"/>
  <c r="C596"/>
  <c r="B238"/>
  <c r="B236"/>
  <c r="B235"/>
  <c r="B237"/>
  <c r="H196"/>
  <c r="G196"/>
  <c r="B196"/>
  <c r="C196"/>
  <c r="D196"/>
  <c r="E196"/>
  <c r="C5"/>
  <c r="C4"/>
  <c r="C3"/>
  <c r="C67"/>
  <c r="D67"/>
  <c r="E67"/>
  <c r="F67"/>
  <c r="I35" s="1"/>
  <c r="B67"/>
  <c r="E35"/>
  <c r="F35"/>
  <c r="H35"/>
  <c r="C35"/>
  <c r="C60"/>
  <c r="D60"/>
  <c r="E60"/>
  <c r="F60"/>
  <c r="B60"/>
  <c r="I28" s="1"/>
  <c r="C59"/>
  <c r="D59"/>
  <c r="E59"/>
  <c r="F59"/>
  <c r="B59"/>
  <c r="I27" s="1"/>
  <c r="F27"/>
  <c r="G27"/>
  <c r="H27"/>
  <c r="C27"/>
  <c r="C58"/>
  <c r="D58"/>
  <c r="E58"/>
  <c r="F58"/>
  <c r="B58"/>
  <c r="I26" s="1"/>
  <c r="C56"/>
  <c r="D56"/>
  <c r="E56"/>
  <c r="F56"/>
  <c r="B56"/>
  <c r="D16"/>
  <c r="E16"/>
  <c r="F16"/>
  <c r="G16"/>
  <c r="H16"/>
  <c r="C16"/>
  <c r="B16" s="1"/>
  <c r="H13"/>
  <c r="D13"/>
  <c r="E13"/>
  <c r="F13"/>
  <c r="G13"/>
  <c r="C13"/>
  <c r="D14"/>
  <c r="E14"/>
  <c r="F14"/>
  <c r="G14"/>
  <c r="H14"/>
  <c r="C14"/>
  <c r="B14" s="1"/>
  <c r="D9" i="17"/>
  <c r="G16"/>
  <c r="G9"/>
  <c r="A404" i="18"/>
  <c r="C404" s="1"/>
  <c r="E41" i="16"/>
  <c r="E7" i="17"/>
  <c r="F9"/>
  <c r="A129" i="18" s="1"/>
  <c r="A401"/>
  <c r="F401" s="1"/>
  <c r="E9" i="17"/>
  <c r="L9"/>
  <c r="E12" i="18"/>
  <c r="F12"/>
  <c r="D44"/>
  <c r="E44"/>
  <c r="O40" i="16"/>
  <c r="P40"/>
  <c r="P44"/>
  <c r="I44" i="18"/>
  <c r="Q40" i="16"/>
  <c r="Q44"/>
  <c r="Q47"/>
  <c r="H40"/>
  <c r="H32" i="17"/>
  <c r="E32"/>
  <c r="C213" i="18" s="1"/>
  <c r="R48" i="16"/>
  <c r="G19" i="17"/>
  <c r="K19"/>
  <c r="I19"/>
  <c r="D32"/>
  <c r="B213" i="18" s="1"/>
  <c r="G26" i="17"/>
  <c r="I36"/>
  <c r="I26"/>
  <c r="K26"/>
  <c r="B305" i="18" s="1"/>
  <c r="B306" s="1"/>
  <c r="G302" s="1"/>
  <c r="D38" i="17"/>
  <c r="R38" s="1"/>
  <c r="E41"/>
  <c r="F41"/>
  <c r="G41"/>
  <c r="F33" i="18" s="1"/>
  <c r="H41" i="17"/>
  <c r="G33" i="18" s="1"/>
  <c r="I41" i="17"/>
  <c r="H33" i="18" s="1"/>
  <c r="Q41" i="17"/>
  <c r="I65" i="18" s="1"/>
  <c r="E38" i="17"/>
  <c r="D30" i="18" s="1"/>
  <c r="F38" i="17"/>
  <c r="G697" i="18" s="1"/>
  <c r="F712" s="1"/>
  <c r="G38" i="17"/>
  <c r="G698" i="18"/>
  <c r="G712" s="1"/>
  <c r="H38" i="17"/>
  <c r="I38"/>
  <c r="G700" i="18"/>
  <c r="I712" s="1"/>
  <c r="C62"/>
  <c r="Q38" i="17"/>
  <c r="G708" i="18"/>
  <c r="I718" s="1"/>
  <c r="D41" i="17"/>
  <c r="R41" s="1"/>
  <c r="F32"/>
  <c r="E25" i="18" s="1"/>
  <c r="G32" i="17"/>
  <c r="F25" i="18"/>
  <c r="I32" i="17"/>
  <c r="H25" i="18"/>
  <c r="F57"/>
  <c r="R51" i="16"/>
  <c r="D345" i="18"/>
  <c r="R52" i="16"/>
  <c r="R50"/>
  <c r="M16" i="17"/>
  <c r="M13"/>
  <c r="R39" i="16"/>
  <c r="R38"/>
  <c r="B698" i="18"/>
  <c r="Q37" i="17"/>
  <c r="I61" i="18"/>
  <c r="B61"/>
  <c r="H37" i="17"/>
  <c r="G29" i="18" s="1"/>
  <c r="E37" i="17"/>
  <c r="D29" i="18" s="1"/>
  <c r="I105" i="16"/>
  <c r="I88"/>
  <c r="R15"/>
  <c r="R13"/>
  <c r="G4" i="17"/>
  <c r="F9" i="18" s="1"/>
  <c r="H4" i="17"/>
  <c r="G9" i="18" s="1"/>
  <c r="I71" i="16"/>
  <c r="A127" i="18"/>
  <c r="B127"/>
  <c r="P4" i="17"/>
  <c r="H41" i="18"/>
  <c r="Q4" i="17"/>
  <c r="I41" i="18"/>
  <c r="R12" i="16"/>
  <c r="D747" i="18"/>
  <c r="R14" i="16"/>
  <c r="D748" i="18"/>
  <c r="G610"/>
  <c r="D4" i="17"/>
  <c r="C9" i="18" s="1"/>
  <c r="E4" i="17"/>
  <c r="D9" i="18" s="1"/>
  <c r="F4" i="17"/>
  <c r="E9" i="18" s="1"/>
  <c r="I4" i="17"/>
  <c r="H9" i="18" s="1"/>
  <c r="J4" i="17"/>
  <c r="B41" i="18" s="1"/>
  <c r="R37" i="16"/>
  <c r="G633" i="18"/>
  <c r="R43" i="16"/>
  <c r="F955" i="18"/>
  <c r="R45" i="16"/>
  <c r="F213" i="18"/>
  <c r="R46" i="16"/>
  <c r="R17"/>
  <c r="R18"/>
  <c r="R19"/>
  <c r="R20"/>
  <c r="R21"/>
  <c r="R22"/>
  <c r="R23"/>
  <c r="R24"/>
  <c r="R25"/>
  <c r="R26"/>
  <c r="R27"/>
  <c r="R28"/>
  <c r="R29"/>
  <c r="R30"/>
  <c r="R31"/>
  <c r="R32"/>
  <c r="R33"/>
  <c r="R34"/>
  <c r="R35"/>
  <c r="R36"/>
  <c r="G632" i="18"/>
  <c r="R42" i="16"/>
  <c r="F935" i="18"/>
  <c r="R16" i="16"/>
  <c r="E57" i="18"/>
  <c r="I40" i="16"/>
  <c r="I44"/>
  <c r="G40"/>
  <c r="G44"/>
  <c r="F40"/>
  <c r="F44"/>
  <c r="H44"/>
  <c r="H47"/>
  <c r="C12" i="18"/>
  <c r="A318"/>
  <c r="D12"/>
  <c r="R41" i="16"/>
  <c r="A391" i="18"/>
  <c r="G12"/>
  <c r="A394"/>
  <c r="B394"/>
  <c r="A395"/>
  <c r="F395"/>
  <c r="A397"/>
  <c r="C397"/>
  <c r="A399"/>
  <c r="C399"/>
  <c r="A400"/>
  <c r="C400"/>
  <c r="A392"/>
  <c r="B392"/>
  <c r="A393"/>
  <c r="C393"/>
  <c r="A396"/>
  <c r="C396" s="1"/>
  <c r="L40" i="16"/>
  <c r="L44"/>
  <c r="A403" i="18"/>
  <c r="C403" s="1"/>
  <c r="A405"/>
  <c r="C405" s="1"/>
  <c r="A406"/>
  <c r="F406" s="1"/>
  <c r="A407"/>
  <c r="B407" s="1"/>
  <c r="M40" i="16"/>
  <c r="M44"/>
  <c r="G620" i="18"/>
  <c r="O44" i="16"/>
  <c r="O47"/>
  <c r="G626" i="18"/>
  <c r="B401"/>
  <c r="G612"/>
  <c r="G44"/>
  <c r="G624"/>
  <c r="H44"/>
  <c r="I47"/>
  <c r="G630"/>
  <c r="G618"/>
  <c r="G634"/>
  <c r="Q6" i="17"/>
  <c r="I49" i="18"/>
  <c r="E138"/>
  <c r="A139"/>
  <c r="C139" s="1"/>
  <c r="E139"/>
  <c r="G47"/>
  <c r="G15"/>
  <c r="H12"/>
  <c r="G628"/>
  <c r="G622"/>
  <c r="G616"/>
  <c r="G614"/>
  <c r="G25"/>
  <c r="F44"/>
  <c r="N40" i="16"/>
  <c r="N44"/>
  <c r="G636" i="18"/>
  <c r="G640"/>
  <c r="G1003"/>
  <c r="G1032" s="1"/>
  <c r="E1029"/>
  <c r="A908"/>
  <c r="H1003"/>
  <c r="H1032" s="1"/>
  <c r="D749"/>
  <c r="H47"/>
  <c r="P47" i="16"/>
  <c r="I626" i="18"/>
  <c r="P6" i="17"/>
  <c r="H49" i="18"/>
  <c r="G608"/>
  <c r="F952"/>
  <c r="F956" s="1"/>
  <c r="B695"/>
  <c r="B701"/>
  <c r="B703"/>
  <c r="B705"/>
  <c r="B707"/>
  <c r="B700"/>
  <c r="B702"/>
  <c r="B704"/>
  <c r="B706"/>
  <c r="C345"/>
  <c r="E345"/>
  <c r="G345"/>
  <c r="F966"/>
  <c r="B200"/>
  <c r="F200"/>
  <c r="D945"/>
  <c r="I62"/>
  <c r="E33"/>
  <c r="H30"/>
  <c r="H62"/>
  <c r="F61"/>
  <c r="N39" i="17"/>
  <c r="B908" i="18"/>
  <c r="B153"/>
  <c r="A324" s="1"/>
  <c r="A319"/>
  <c r="G65"/>
  <c r="B1039"/>
  <c r="B1051"/>
  <c r="B1080"/>
  <c r="B1023"/>
  <c r="B1001"/>
  <c r="D213"/>
  <c r="D33"/>
  <c r="A132"/>
  <c r="F132"/>
  <c r="G132" s="1"/>
  <c r="H132" s="1"/>
  <c r="A126"/>
  <c r="A123"/>
  <c r="B123" s="1"/>
  <c r="A125"/>
  <c r="A133"/>
  <c r="F133" s="1"/>
  <c r="K9" i="17"/>
  <c r="H213" i="18"/>
  <c r="B57"/>
  <c r="B63" s="1"/>
  <c r="B62"/>
  <c r="G62"/>
  <c r="J1025"/>
  <c r="B1077"/>
  <c r="G200"/>
  <c r="E213"/>
  <c r="E1077"/>
  <c r="H1077"/>
  <c r="D1077"/>
  <c r="B405"/>
  <c r="H61"/>
  <c r="P39" i="17"/>
  <c r="E62" i="18"/>
  <c r="B65"/>
  <c r="E65"/>
  <c r="E1003"/>
  <c r="E1032" s="1"/>
  <c r="B1065"/>
  <c r="B1078" s="1"/>
  <c r="C401"/>
  <c r="C172"/>
  <c r="A128"/>
  <c r="C128" s="1"/>
  <c r="F421"/>
  <c r="C127"/>
  <c r="J1028"/>
  <c r="B1031"/>
  <c r="H200"/>
  <c r="D200"/>
  <c r="H157"/>
  <c r="J1027"/>
  <c r="B395"/>
  <c r="E131"/>
  <c r="G21" i="17"/>
  <c r="E12"/>
  <c r="C1017" i="18"/>
  <c r="K15" i="17"/>
  <c r="K20"/>
  <c r="I11"/>
  <c r="F175" i="18"/>
  <c r="B172"/>
  <c r="G710"/>
  <c r="C716"/>
  <c r="G716"/>
  <c r="F696"/>
  <c r="E711" s="1"/>
  <c r="F710"/>
  <c r="H710"/>
  <c r="B716"/>
  <c r="D716"/>
  <c r="F716"/>
  <c r="H716"/>
  <c r="D163"/>
  <c r="B708"/>
  <c r="B697"/>
  <c r="B699"/>
  <c r="B696"/>
  <c r="P36" i="17"/>
  <c r="F36"/>
  <c r="L36"/>
  <c r="C321" i="18"/>
  <c r="D317" s="1"/>
  <c r="B310"/>
  <c r="E302" s="1"/>
  <c r="I303" s="1"/>
  <c r="G36" i="17"/>
  <c r="D320" i="18"/>
  <c r="D318"/>
  <c r="G7" i="17"/>
  <c r="P7"/>
  <c r="N7"/>
  <c r="F7"/>
  <c r="K7"/>
  <c r="D7"/>
  <c r="F383" i="18"/>
  <c r="I21" i="17"/>
  <c r="F384" i="18"/>
  <c r="K36" i="17"/>
  <c r="Q36"/>
  <c r="N36"/>
  <c r="C908" i="18"/>
  <c r="F154"/>
  <c r="E157"/>
  <c r="I179"/>
  <c r="I183" s="1"/>
  <c r="E179"/>
  <c r="E183" s="1"/>
  <c r="G157"/>
  <c r="G170"/>
  <c r="B159"/>
  <c r="F160" s="1"/>
  <c r="E172"/>
  <c r="F415"/>
  <c r="F417" s="1"/>
  <c r="F411"/>
  <c r="C160"/>
  <c r="B13"/>
  <c r="G1080"/>
  <c r="H1080"/>
  <c r="D1080"/>
  <c r="J1000"/>
  <c r="B1000" s="1"/>
  <c r="J1014"/>
  <c r="B1014" s="1"/>
  <c r="B125"/>
  <c r="F396"/>
  <c r="F393"/>
  <c r="B132"/>
  <c r="J1006"/>
  <c r="B1006"/>
  <c r="E136"/>
  <c r="E137"/>
  <c r="E129"/>
  <c r="E133"/>
  <c r="E132"/>
  <c r="D132"/>
  <c r="B139"/>
  <c r="D47"/>
  <c r="L47" i="16"/>
  <c r="E47" i="18"/>
  <c r="M47" i="16"/>
  <c r="F47" i="18"/>
  <c r="N47" i="16"/>
  <c r="C132" i="18"/>
  <c r="C125"/>
  <c r="F125" s="1"/>
  <c r="F400"/>
  <c r="B400"/>
  <c r="F392"/>
  <c r="C394"/>
  <c r="M6" i="17"/>
  <c r="E49" i="18" s="1"/>
  <c r="I620"/>
  <c r="L6" i="17"/>
  <c r="D49" i="18"/>
  <c r="I618"/>
  <c r="N6" i="17"/>
  <c r="I622" i="18"/>
  <c r="F49"/>
  <c r="O6" i="17"/>
  <c r="G49" i="18"/>
  <c r="I624"/>
  <c r="E1080"/>
  <c r="K16" i="17"/>
  <c r="E17"/>
  <c r="G17"/>
  <c r="E13"/>
  <c r="G13"/>
  <c r="G22"/>
  <c r="E22"/>
  <c r="A122" i="18"/>
  <c r="C122" s="1"/>
  <c r="I47" i="16"/>
  <c r="I6" i="17"/>
  <c r="H17" i="18"/>
  <c r="H15"/>
  <c r="H345"/>
  <c r="B345"/>
  <c r="F345"/>
  <c r="D40" i="16"/>
  <c r="D44"/>
  <c r="H6" i="17"/>
  <c r="G17" i="18"/>
  <c r="I610"/>
  <c r="G47" i="16"/>
  <c r="F15" i="18"/>
  <c r="C47"/>
  <c r="K47" i="16"/>
  <c r="J47"/>
  <c r="B47" i="18"/>
  <c r="I15"/>
  <c r="E15"/>
  <c r="F47" i="16"/>
  <c r="R40"/>
  <c r="E44"/>
  <c r="I612" i="18"/>
  <c r="B122"/>
  <c r="K21" i="17"/>
  <c r="B234" i="18"/>
  <c r="D234"/>
  <c r="C15"/>
  <c r="D47" i="16"/>
  <c r="J6" i="17"/>
  <c r="B49" i="18"/>
  <c r="I17" s="1"/>
  <c r="I614"/>
  <c r="G6" i="17"/>
  <c r="F17" i="18"/>
  <c r="I608"/>
  <c r="D15"/>
  <c r="B15" s="1"/>
  <c r="R44" i="16"/>
  <c r="E47"/>
  <c r="F6" i="17"/>
  <c r="E17" i="18" s="1"/>
  <c r="I606"/>
  <c r="I616"/>
  <c r="K6" i="17"/>
  <c r="C49" i="18" s="1"/>
  <c r="D6" i="17"/>
  <c r="C17" i="18" s="1"/>
  <c r="I602"/>
  <c r="E6" i="17"/>
  <c r="R47" i="16"/>
  <c r="I604" i="18"/>
  <c r="I13" i="17"/>
  <c r="B266" i="18" s="1"/>
  <c r="G638"/>
  <c r="D17"/>
  <c r="I642"/>
  <c r="G642"/>
  <c r="K12" i="17"/>
  <c r="C391" i="18"/>
  <c r="C123"/>
  <c r="B391"/>
  <c r="F391"/>
  <c r="G695"/>
  <c r="D712" s="1"/>
  <c r="C30"/>
  <c r="R32" i="17"/>
  <c r="M7"/>
  <c r="O7"/>
  <c r="L7"/>
  <c r="H7"/>
  <c r="J7"/>
  <c r="Q7"/>
  <c r="I7"/>
  <c r="R24"/>
  <c r="F412" i="18"/>
  <c r="F414" s="1"/>
  <c r="F418"/>
  <c r="F404"/>
  <c r="B404"/>
  <c r="A131"/>
  <c r="J9" i="17"/>
  <c r="H9"/>
  <c r="R16" s="1"/>
  <c r="E16"/>
  <c r="E21"/>
  <c r="G12"/>
  <c r="I15"/>
  <c r="I20"/>
  <c r="K11"/>
  <c r="C61" i="18"/>
  <c r="K39" i="17"/>
  <c r="C1051" i="18"/>
  <c r="J998"/>
  <c r="B998" s="1"/>
  <c r="B118"/>
  <c r="F118"/>
  <c r="D908"/>
  <c r="E908" s="1"/>
  <c r="C1029"/>
  <c r="B1025"/>
  <c r="F695"/>
  <c r="D711" s="1"/>
  <c r="D710"/>
  <c r="I12"/>
  <c r="B12" s="1"/>
  <c r="I24"/>
  <c r="H63"/>
  <c r="B1028"/>
  <c r="H1029"/>
  <c r="F1029"/>
  <c r="J1037"/>
  <c r="B1037"/>
  <c r="J1022"/>
  <c r="B1022"/>
  <c r="G1029"/>
  <c r="B1027"/>
  <c r="E160"/>
  <c r="G160"/>
  <c r="B128"/>
  <c r="F128"/>
  <c r="I128" s="1"/>
  <c r="J128" s="1"/>
  <c r="B126"/>
  <c r="C126"/>
  <c r="F126" s="1"/>
  <c r="C154"/>
  <c r="B175"/>
  <c r="C170"/>
  <c r="H155"/>
  <c r="G179"/>
  <c r="G183" s="1"/>
  <c r="C179"/>
  <c r="C183" s="1"/>
  <c r="G173"/>
  <c r="G174" s="1"/>
  <c r="G176" s="1"/>
  <c r="D175"/>
  <c r="I173"/>
  <c r="E170"/>
  <c r="B163"/>
  <c r="H173"/>
  <c r="B179"/>
  <c r="D157"/>
  <c r="G161"/>
  <c r="G165" s="1"/>
  <c r="D170"/>
  <c r="C161"/>
  <c r="E178"/>
  <c r="D164"/>
  <c r="H178"/>
  <c r="B162"/>
  <c r="G152"/>
  <c r="I175"/>
  <c r="G162"/>
  <c r="D155"/>
  <c r="H154"/>
  <c r="H156"/>
  <c r="H158" s="1"/>
  <c r="H161"/>
  <c r="H165" s="1"/>
  <c r="D178"/>
  <c r="E152"/>
  <c r="C155"/>
  <c r="A328"/>
  <c r="A327"/>
  <c r="C178"/>
  <c r="C173"/>
  <c r="C174" s="1"/>
  <c r="C176" s="1"/>
  <c r="G154"/>
  <c r="E154"/>
  <c r="H152"/>
  <c r="G175"/>
  <c r="A325"/>
  <c r="E161"/>
  <c r="E165"/>
  <c r="G178"/>
  <c r="F173"/>
  <c r="D179"/>
  <c r="D183"/>
  <c r="F179"/>
  <c r="F183"/>
  <c r="H179"/>
  <c r="H183"/>
  <c r="F161"/>
  <c r="F165"/>
  <c r="H175"/>
  <c r="B170"/>
  <c r="C152"/>
  <c r="F139"/>
  <c r="D139"/>
  <c r="G699"/>
  <c r="H712" s="1"/>
  <c r="G30"/>
  <c r="A138"/>
  <c r="A137"/>
  <c r="A136"/>
  <c r="A124"/>
  <c r="E135"/>
  <c r="I16" i="17"/>
  <c r="I12"/>
  <c r="I57" i="18"/>
  <c r="I63"/>
  <c r="Q39" i="17"/>
  <c r="G57" i="18"/>
  <c r="O39" i="17"/>
  <c r="G703" i="18"/>
  <c r="D718" s="1"/>
  <c r="D62"/>
  <c r="G705"/>
  <c r="F718" s="1"/>
  <c r="F62"/>
  <c r="F63" s="1"/>
  <c r="F1078"/>
  <c r="F1086" s="1"/>
  <c r="F1088"/>
  <c r="F1089" s="1"/>
  <c r="F1080"/>
  <c r="A317"/>
  <c r="C200"/>
  <c r="F700"/>
  <c r="I711"/>
  <c r="I710"/>
  <c r="F704"/>
  <c r="E717" s="1"/>
  <c r="E716"/>
  <c r="F708"/>
  <c r="I717" s="1"/>
  <c r="J711" s="1"/>
  <c r="C711" s="1"/>
  <c r="I716"/>
  <c r="J710" s="1"/>
  <c r="E339"/>
  <c r="G213"/>
  <c r="C241"/>
  <c r="E30"/>
  <c r="M39" i="17"/>
  <c r="B309" i="18"/>
  <c r="E303"/>
  <c r="D1078"/>
  <c r="D1086" s="1"/>
  <c r="D1088" s="1"/>
  <c r="J1036"/>
  <c r="B1036" s="1"/>
  <c r="G63"/>
  <c r="B124"/>
  <c r="C124"/>
  <c r="F124"/>
  <c r="C137"/>
  <c r="F137"/>
  <c r="B137"/>
  <c r="D137"/>
  <c r="B164"/>
  <c r="C165"/>
  <c r="G128"/>
  <c r="H128" s="1"/>
  <c r="C1080"/>
  <c r="J1032"/>
  <c r="J1003"/>
  <c r="I29"/>
  <c r="D131"/>
  <c r="C131"/>
  <c r="F131"/>
  <c r="B131"/>
  <c r="D136"/>
  <c r="B136"/>
  <c r="C138"/>
  <c r="B138"/>
  <c r="C1030"/>
  <c r="C1038" s="1"/>
  <c r="C1040" s="1"/>
  <c r="D117"/>
  <c r="B18" s="1"/>
  <c r="R8" i="17"/>
  <c r="R12"/>
  <c r="R21"/>
  <c r="E42"/>
  <c r="R25"/>
  <c r="H42"/>
  <c r="G35" i="18" s="1"/>
  <c r="B35" s="1"/>
  <c r="Q24" i="17"/>
  <c r="R7"/>
  <c r="R19"/>
  <c r="R26" s="1"/>
  <c r="P10"/>
  <c r="C710" i="18"/>
  <c r="D35"/>
  <c r="I131"/>
  <c r="J131" s="1"/>
  <c r="G131"/>
  <c r="H131" s="1"/>
  <c r="G124"/>
  <c r="H124" s="1"/>
  <c r="I124"/>
  <c r="J124" s="1"/>
  <c r="E320"/>
  <c r="R6" i="17"/>
  <c r="H27" s="1"/>
  <c r="B17" i="18"/>
  <c r="I345"/>
  <c r="F1030"/>
  <c r="F1038" s="1"/>
  <c r="F1040" s="1"/>
  <c r="F1041" s="1"/>
  <c r="I18" i="17"/>
  <c r="G18"/>
  <c r="D1032" i="18"/>
  <c r="G1030"/>
  <c r="G1038" s="1"/>
  <c r="G1040"/>
  <c r="G1041" s="1"/>
  <c r="F698"/>
  <c r="G711" s="1"/>
  <c r="A135"/>
  <c r="F344"/>
  <c r="H160"/>
  <c r="F405"/>
  <c r="C395"/>
  <c r="B397"/>
  <c r="F397"/>
  <c r="B396"/>
  <c r="F407"/>
  <c r="C406"/>
  <c r="C407"/>
  <c r="D133"/>
  <c r="B393"/>
  <c r="C392"/>
  <c r="D160"/>
  <c r="F127"/>
  <c r="F170"/>
  <c r="G155"/>
  <c r="G156"/>
  <c r="G158" s="1"/>
  <c r="B328" s="1"/>
  <c r="D25"/>
  <c r="F30"/>
  <c r="D161"/>
  <c r="D162"/>
  <c r="I172"/>
  <c r="I174" s="1"/>
  <c r="I176" s="1"/>
  <c r="E155"/>
  <c r="D172"/>
  <c r="D173"/>
  <c r="C175"/>
  <c r="H170"/>
  <c r="F155"/>
  <c r="F156"/>
  <c r="G172"/>
  <c r="J36" i="17"/>
  <c r="O36"/>
  <c r="H36"/>
  <c r="F152" i="18"/>
  <c r="E36" i="17"/>
  <c r="M36"/>
  <c r="D36"/>
  <c r="F178" i="18"/>
  <c r="I178"/>
  <c r="A326"/>
  <c r="B399"/>
  <c r="F399"/>
  <c r="F394"/>
  <c r="F172"/>
  <c r="F174"/>
  <c r="F176" s="1"/>
  <c r="L39" i="17"/>
  <c r="R36"/>
  <c r="S36" s="1"/>
  <c r="D174" i="18"/>
  <c r="B277"/>
  <c r="D1089"/>
  <c r="F135"/>
  <c r="C135"/>
  <c r="D135"/>
  <c r="B135"/>
  <c r="E27" i="17"/>
  <c r="D21" i="18" s="1"/>
  <c r="F27" i="17"/>
  <c r="E21" i="18" s="1"/>
  <c r="M27" i="17"/>
  <c r="E53" i="18" s="1"/>
  <c r="C230"/>
  <c r="L27" i="17"/>
  <c r="D53" i="18"/>
  <c r="O27" i="17"/>
  <c r="G53" i="18"/>
  <c r="A230"/>
  <c r="E230"/>
  <c r="H230" s="1"/>
  <c r="D236" s="1"/>
  <c r="K27" i="17"/>
  <c r="C53" i="18"/>
  <c r="Q27" i="17"/>
  <c r="I53" i="18"/>
  <c r="G27" i="17"/>
  <c r="F21" i="18"/>
  <c r="B117"/>
  <c r="E19" i="17"/>
  <c r="P27"/>
  <c r="H53" i="18" s="1"/>
  <c r="I27" i="17"/>
  <c r="H21" i="18" s="1"/>
  <c r="N27" i="17"/>
  <c r="F53" i="18" s="1"/>
  <c r="D237"/>
  <c r="J27" i="17"/>
  <c r="B53" i="18"/>
  <c r="E156"/>
  <c r="E158" s="1"/>
  <c r="B326" s="1"/>
  <c r="G135"/>
  <c r="H135" s="1"/>
  <c r="I135"/>
  <c r="J135" s="1"/>
  <c r="D176"/>
  <c r="G21"/>
  <c r="C1041" l="1"/>
  <c r="I21"/>
  <c r="D118"/>
  <c r="B19" s="1"/>
  <c r="R10" i="17"/>
  <c r="G125" i="18"/>
  <c r="H125" s="1"/>
  <c r="I125"/>
  <c r="J125" s="1"/>
  <c r="E317"/>
  <c r="I348"/>
  <c r="D346"/>
  <c r="C344"/>
  <c r="B346"/>
  <c r="E344"/>
  <c r="B339"/>
  <c r="D339"/>
  <c r="F339"/>
  <c r="E346"/>
  <c r="D344"/>
  <c r="C346"/>
  <c r="G346"/>
  <c r="G344"/>
  <c r="H346"/>
  <c r="C339"/>
  <c r="G339"/>
  <c r="F382"/>
  <c r="F386" s="1"/>
  <c r="F385"/>
  <c r="G127"/>
  <c r="H127" s="1"/>
  <c r="I127"/>
  <c r="J127" s="1"/>
  <c r="B278"/>
  <c r="B276"/>
  <c r="I137"/>
  <c r="J137" s="1"/>
  <c r="G137"/>
  <c r="H137" s="1"/>
  <c r="C136"/>
  <c r="F136"/>
  <c r="F138"/>
  <c r="D138"/>
  <c r="I139"/>
  <c r="J139" s="1"/>
  <c r="G139"/>
  <c r="H139" s="1"/>
  <c r="B183"/>
  <c r="I165" s="1"/>
  <c r="I161"/>
  <c r="G126"/>
  <c r="H126" s="1"/>
  <c r="I126"/>
  <c r="J126" s="1"/>
  <c r="B1086"/>
  <c r="G133"/>
  <c r="H133" s="1"/>
  <c r="I133"/>
  <c r="J133" s="1"/>
  <c r="D129"/>
  <c r="B129"/>
  <c r="C129"/>
  <c r="F129"/>
  <c r="I25"/>
  <c r="C63"/>
  <c r="I31" s="1"/>
  <c r="I1032"/>
  <c r="I1030"/>
  <c r="I1038" s="1"/>
  <c r="I1040" s="1"/>
  <c r="I1041" s="1"/>
  <c r="B1003"/>
  <c r="C1032"/>
  <c r="F158"/>
  <c r="B327" s="1"/>
  <c r="B161"/>
  <c r="R42" i="17"/>
  <c r="I30" i="18"/>
  <c r="B30" s="1"/>
  <c r="B1029"/>
  <c r="G31"/>
  <c r="I33"/>
  <c r="J1029"/>
  <c r="R9" i="17"/>
  <c r="D165" i="18"/>
  <c r="B165" s="1"/>
  <c r="F346"/>
  <c r="H344"/>
  <c r="E318"/>
  <c r="C156"/>
  <c r="B344"/>
  <c r="G1078"/>
  <c r="G1086" s="1"/>
  <c r="G1088" s="1"/>
  <c r="G1089" s="1"/>
  <c r="C1078"/>
  <c r="C1086" s="1"/>
  <c r="C1088" s="1"/>
  <c r="C1089" s="1"/>
  <c r="C25"/>
  <c r="F123"/>
  <c r="F122"/>
  <c r="B265"/>
  <c r="E26" i="17"/>
  <c r="C157" i="18"/>
  <c r="F403"/>
  <c r="B133"/>
  <c r="I132"/>
  <c r="J132" s="1"/>
  <c r="J1017"/>
  <c r="C133"/>
  <c r="E1030"/>
  <c r="E1038" s="1"/>
  <c r="E1040" s="1"/>
  <c r="E1041" s="1"/>
  <c r="H172"/>
  <c r="E173"/>
  <c r="E174" s="1"/>
  <c r="G696"/>
  <c r="E712" s="1"/>
  <c r="C712" s="1"/>
  <c r="F157"/>
  <c r="B178"/>
  <c r="I160" s="1"/>
  <c r="B173"/>
  <c r="D152"/>
  <c r="E175"/>
  <c r="I157" s="1"/>
  <c r="D316"/>
  <c r="E316" s="1"/>
  <c r="D319"/>
  <c r="E319" s="1"/>
  <c r="D154"/>
  <c r="D156" s="1"/>
  <c r="D158" s="1"/>
  <c r="B325" s="1"/>
  <c r="B403"/>
  <c r="B406"/>
  <c r="H39" i="17"/>
  <c r="D396" i="18"/>
  <c r="E396" s="1"/>
  <c r="C33"/>
  <c r="D1017"/>
  <c r="D1030" s="1"/>
  <c r="D1038" s="1"/>
  <c r="D27" i="17"/>
  <c r="P60" i="16"/>
  <c r="F419" i="18"/>
  <c r="F420" s="1"/>
  <c r="F425" s="1"/>
  <c r="D1040" l="1"/>
  <c r="I154"/>
  <c r="H174"/>
  <c r="H176" s="1"/>
  <c r="I37" i="17"/>
  <c r="F37"/>
  <c r="E29" i="18" s="1"/>
  <c r="D37" i="17"/>
  <c r="G37"/>
  <c r="F29" i="18" s="1"/>
  <c r="I122"/>
  <c r="J122" s="1"/>
  <c r="G122"/>
  <c r="H122" s="1"/>
  <c r="B25"/>
  <c r="I344"/>
  <c r="C158"/>
  <c r="L69" i="16"/>
  <c r="M69" s="1"/>
  <c r="L68"/>
  <c r="M68" s="1"/>
  <c r="L60"/>
  <c r="L66"/>
  <c r="M66" s="1"/>
  <c r="L64"/>
  <c r="M64" s="1"/>
  <c r="L67"/>
  <c r="M67" s="1"/>
  <c r="L62"/>
  <c r="E11" i="17"/>
  <c r="L63" i="16"/>
  <c r="L65"/>
  <c r="M65" s="1"/>
  <c r="L58"/>
  <c r="L61"/>
  <c r="G11" i="17"/>
  <c r="F117" i="18"/>
  <c r="L57" i="16"/>
  <c r="L70"/>
  <c r="M70" s="1"/>
  <c r="L59"/>
  <c r="B1088" i="18"/>
  <c r="J1038"/>
  <c r="B1038" s="1"/>
  <c r="G138"/>
  <c r="H138" s="1"/>
  <c r="I138"/>
  <c r="J138" s="1"/>
  <c r="G400"/>
  <c r="H400" s="1"/>
  <c r="G401"/>
  <c r="H401" s="1"/>
  <c r="G404"/>
  <c r="H404" s="1"/>
  <c r="G403"/>
  <c r="H403" s="1"/>
  <c r="G391"/>
  <c r="H391" s="1"/>
  <c r="G405"/>
  <c r="H405" s="1"/>
  <c r="G394"/>
  <c r="H394" s="1"/>
  <c r="G406"/>
  <c r="H406" s="1"/>
  <c r="G393"/>
  <c r="H393" s="1"/>
  <c r="G392"/>
  <c r="H392" s="1"/>
  <c r="G396"/>
  <c r="H396" s="1"/>
  <c r="G407"/>
  <c r="H407" s="1"/>
  <c r="G395"/>
  <c r="H395" s="1"/>
  <c r="G397"/>
  <c r="H397" s="1"/>
  <c r="G399"/>
  <c r="H399" s="1"/>
  <c r="R27" i="17"/>
  <c r="S27" s="1"/>
  <c r="C21" i="18"/>
  <c r="B21" s="1"/>
  <c r="B174"/>
  <c r="I155"/>
  <c r="B155" s="1"/>
  <c r="I123"/>
  <c r="J123" s="1"/>
  <c r="G123"/>
  <c r="H123" s="1"/>
  <c r="G129"/>
  <c r="H129" s="1"/>
  <c r="I129"/>
  <c r="J129" s="1"/>
  <c r="I136"/>
  <c r="J136" s="1"/>
  <c r="G136"/>
  <c r="H136" s="1"/>
  <c r="D403"/>
  <c r="E403" s="1"/>
  <c r="D399"/>
  <c r="E399" s="1"/>
  <c r="D397"/>
  <c r="E397" s="1"/>
  <c r="D393"/>
  <c r="E393" s="1"/>
  <c r="D404"/>
  <c r="E404" s="1"/>
  <c r="D401"/>
  <c r="E401" s="1"/>
  <c r="D394"/>
  <c r="E394" s="1"/>
  <c r="D400"/>
  <c r="E400" s="1"/>
  <c r="D405"/>
  <c r="E405" s="1"/>
  <c r="D406"/>
  <c r="E406" s="1"/>
  <c r="D392"/>
  <c r="E392" s="1"/>
  <c r="E408" s="1"/>
  <c r="D391"/>
  <c r="E391" s="1"/>
  <c r="D395"/>
  <c r="E395" s="1"/>
  <c r="D407"/>
  <c r="E407" s="1"/>
  <c r="L82" i="16"/>
  <c r="M82" s="1"/>
  <c r="L85"/>
  <c r="M85" s="1"/>
  <c r="L81"/>
  <c r="M81" s="1"/>
  <c r="L78"/>
  <c r="M78" s="1"/>
  <c r="L74"/>
  <c r="Q10" i="17"/>
  <c r="E15"/>
  <c r="R15" s="1"/>
  <c r="L84" i="16"/>
  <c r="M84" s="1"/>
  <c r="L75"/>
  <c r="M75" s="1"/>
  <c r="L86"/>
  <c r="M86" s="1"/>
  <c r="L79"/>
  <c r="M79" s="1"/>
  <c r="G15" i="17"/>
  <c r="L83" i="16"/>
  <c r="M83" s="1"/>
  <c r="L76"/>
  <c r="M76" s="1"/>
  <c r="L80"/>
  <c r="M80" s="1"/>
  <c r="L77"/>
  <c r="M77" s="1"/>
  <c r="L87"/>
  <c r="M87" s="1"/>
  <c r="B1017" i="18"/>
  <c r="B33"/>
  <c r="E176"/>
  <c r="B157"/>
  <c r="B154"/>
  <c r="B1032"/>
  <c r="J1030"/>
  <c r="B1030" s="1"/>
  <c r="L88" i="16" l="1"/>
  <c r="M74"/>
  <c r="M88" s="1"/>
  <c r="R17" i="17" s="1"/>
  <c r="R18" s="1"/>
  <c r="B176" i="18"/>
  <c r="I158" s="1"/>
  <c r="B158" s="1"/>
  <c r="I156"/>
  <c r="B156" s="1"/>
  <c r="C329" s="1"/>
  <c r="M59" i="16"/>
  <c r="E124" i="18" s="1"/>
  <c r="D124"/>
  <c r="L71" i="16"/>
  <c r="M57"/>
  <c r="D122" i="18"/>
  <c r="E122" s="1"/>
  <c r="M58" i="16"/>
  <c r="E123" i="18" s="1"/>
  <c r="D123"/>
  <c r="M63" i="16"/>
  <c r="E128" i="18" s="1"/>
  <c r="D128"/>
  <c r="M62" i="16"/>
  <c r="E127" i="18" s="1"/>
  <c r="D127"/>
  <c r="D125"/>
  <c r="M60" i="16"/>
  <c r="E125" i="18" s="1"/>
  <c r="R37" i="17"/>
  <c r="C29" i="18"/>
  <c r="I39" i="17"/>
  <c r="H29" i="18"/>
  <c r="H31" s="1"/>
  <c r="D1041"/>
  <c r="L97" i="16"/>
  <c r="M97" s="1"/>
  <c r="L101"/>
  <c r="M101" s="1"/>
  <c r="L95"/>
  <c r="M95" s="1"/>
  <c r="L103"/>
  <c r="M103" s="1"/>
  <c r="L94"/>
  <c r="M94" s="1"/>
  <c r="L102"/>
  <c r="M102" s="1"/>
  <c r="E20" i="17"/>
  <c r="G20"/>
  <c r="L92" i="16"/>
  <c r="M92" s="1"/>
  <c r="L100"/>
  <c r="M100" s="1"/>
  <c r="L93"/>
  <c r="M93" s="1"/>
  <c r="L91"/>
  <c r="L96"/>
  <c r="M96" s="1"/>
  <c r="L104"/>
  <c r="M104" s="1"/>
  <c r="L99"/>
  <c r="M99" s="1"/>
  <c r="L98"/>
  <c r="M98" s="1"/>
  <c r="B1089" i="18"/>
  <c r="J1041" s="1"/>
  <c r="J1040"/>
  <c r="B1040" s="1"/>
  <c r="M61" i="16"/>
  <c r="E126" i="18" s="1"/>
  <c r="D126"/>
  <c r="B324"/>
  <c r="H408"/>
  <c r="R11" i="17"/>
  <c r="H140" i="18"/>
  <c r="M91" i="16" l="1"/>
  <c r="M105" s="1"/>
  <c r="R22" i="17" s="1"/>
  <c r="L105" i="16"/>
  <c r="E328" i="18"/>
  <c r="E326"/>
  <c r="E324"/>
  <c r="E325"/>
  <c r="D328"/>
  <c r="D325"/>
  <c r="D324"/>
  <c r="D327"/>
  <c r="E327"/>
  <c r="D326"/>
  <c r="B29"/>
  <c r="E140"/>
  <c r="B20" s="1"/>
  <c r="R20" i="17"/>
  <c r="B1041" i="18"/>
  <c r="M71" i="16"/>
  <c r="R13" i="17" s="1"/>
  <c r="R14" s="1"/>
  <c r="J28" l="1"/>
  <c r="L28"/>
  <c r="Q28"/>
  <c r="M28"/>
  <c r="P28"/>
  <c r="G28"/>
  <c r="E18"/>
  <c r="K28"/>
  <c r="F28"/>
  <c r="D235" i="18"/>
  <c r="D238" s="1"/>
  <c r="E28" i="17"/>
  <c r="O28"/>
  <c r="N28"/>
  <c r="I28"/>
  <c r="H28"/>
  <c r="D28"/>
  <c r="R23"/>
  <c r="C22" i="18" l="1"/>
  <c r="D30" i="17"/>
  <c r="R28"/>
  <c r="H22" i="18"/>
  <c r="H32" s="1"/>
  <c r="H34" s="1"/>
  <c r="I30" i="17"/>
  <c r="G54" i="18"/>
  <c r="G64" s="1"/>
  <c r="G66" s="1"/>
  <c r="O30" i="17"/>
  <c r="O40" s="1"/>
  <c r="O43" s="1"/>
  <c r="K30"/>
  <c r="K40" s="1"/>
  <c r="K43" s="1"/>
  <c r="C54" i="18"/>
  <c r="C64" s="1"/>
  <c r="C66" s="1"/>
  <c r="G30" i="17"/>
  <c r="K18"/>
  <c r="G35" s="1"/>
  <c r="F22" i="18"/>
  <c r="B280"/>
  <c r="G280" s="1"/>
  <c r="M30" i="17"/>
  <c r="M40" s="1"/>
  <c r="M43" s="1"/>
  <c r="E54" i="18"/>
  <c r="E64" s="1"/>
  <c r="E66" s="1"/>
  <c r="L30" i="17"/>
  <c r="L40" s="1"/>
  <c r="L43" s="1"/>
  <c r="D54" i="18"/>
  <c r="D64" s="1"/>
  <c r="D66" s="1"/>
  <c r="G22"/>
  <c r="H30" i="17"/>
  <c r="H31"/>
  <c r="F54" i="18"/>
  <c r="F64" s="1"/>
  <c r="F66" s="1"/>
  <c r="N30" i="17"/>
  <c r="N40" s="1"/>
  <c r="N43" s="1"/>
  <c r="D22" i="18"/>
  <c r="E30" i="17"/>
  <c r="F30"/>
  <c r="B268" i="18"/>
  <c r="G268" s="1"/>
  <c r="E22"/>
  <c r="K13" i="17"/>
  <c r="F34" s="1"/>
  <c r="P30"/>
  <c r="P40" s="1"/>
  <c r="P43" s="1"/>
  <c r="H54" i="18"/>
  <c r="H64" s="1"/>
  <c r="H66" s="1"/>
  <c r="Q30" i="17"/>
  <c r="Q40" s="1"/>
  <c r="Q43" s="1"/>
  <c r="I54" i="18"/>
  <c r="I64" s="1"/>
  <c r="I66" s="1"/>
  <c r="B54"/>
  <c r="J30" i="17"/>
  <c r="J40" l="1"/>
  <c r="J43" s="1"/>
  <c r="H347" i="18"/>
  <c r="H348" s="1"/>
  <c r="H192"/>
  <c r="I68"/>
  <c r="I69"/>
  <c r="H68"/>
  <c r="H69"/>
  <c r="E27"/>
  <c r="E31" s="1"/>
  <c r="F39" i="17"/>
  <c r="B267" i="18"/>
  <c r="F196"/>
  <c r="G24"/>
  <c r="B24" s="1"/>
  <c r="R31" i="17"/>
  <c r="G68" i="18"/>
  <c r="G69"/>
  <c r="H37"/>
  <c r="H36"/>
  <c r="A241"/>
  <c r="F241" s="1"/>
  <c r="F242" s="1"/>
  <c r="R30" i="17"/>
  <c r="D33"/>
  <c r="I22" i="18"/>
  <c r="B64"/>
  <c r="D347"/>
  <c r="D348" s="1"/>
  <c r="F40" i="17"/>
  <c r="F43" s="1"/>
  <c r="F68" i="18"/>
  <c r="F69"/>
  <c r="F347"/>
  <c r="F348" s="1"/>
  <c r="H40" i="17"/>
  <c r="H43" s="1"/>
  <c r="D68" i="18"/>
  <c r="D69"/>
  <c r="E68"/>
  <c r="E69"/>
  <c r="F28"/>
  <c r="G39" i="17"/>
  <c r="G40" s="1"/>
  <c r="G43" s="1"/>
  <c r="B279" i="18"/>
  <c r="C69"/>
  <c r="C68"/>
  <c r="G347"/>
  <c r="G348" s="1"/>
  <c r="I40" i="17"/>
  <c r="I43" s="1"/>
  <c r="B22" i="18"/>
  <c r="G32"/>
  <c r="G34" s="1"/>
  <c r="E32"/>
  <c r="E34" s="1"/>
  <c r="E34" i="17"/>
  <c r="E37" i="18" l="1"/>
  <c r="E36"/>
  <c r="G36"/>
  <c r="G37"/>
  <c r="B66"/>
  <c r="I32"/>
  <c r="B269"/>
  <c r="G269" s="1"/>
  <c r="G267"/>
  <c r="D27"/>
  <c r="R34" i="17"/>
  <c r="B272" i="18"/>
  <c r="E39" i="17"/>
  <c r="E35"/>
  <c r="B281" i="18"/>
  <c r="G281" s="1"/>
  <c r="G279"/>
  <c r="F31"/>
  <c r="F32" s="1"/>
  <c r="F34" s="1"/>
  <c r="B28"/>
  <c r="C26"/>
  <c r="R33" i="17"/>
  <c r="D39"/>
  <c r="B191" i="18"/>
  <c r="F191"/>
  <c r="C192"/>
  <c r="G192"/>
  <c r="E191"/>
  <c r="B192"/>
  <c r="F192"/>
  <c r="D191"/>
  <c r="H191"/>
  <c r="E192"/>
  <c r="C191"/>
  <c r="G191"/>
  <c r="D192"/>
  <c r="E347"/>
  <c r="E348" s="1"/>
  <c r="R35" i="17" l="1"/>
  <c r="B284" i="18"/>
  <c r="B271"/>
  <c r="G271" s="1"/>
  <c r="G272"/>
  <c r="B270"/>
  <c r="B27"/>
  <c r="D31"/>
  <c r="D32" s="1"/>
  <c r="D34" s="1"/>
  <c r="B68"/>
  <c r="I36" s="1"/>
  <c r="B69"/>
  <c r="I37" s="1"/>
  <c r="I34"/>
  <c r="R39" i="17"/>
  <c r="B347" i="18"/>
  <c r="D40" i="17"/>
  <c r="B26" i="18"/>
  <c r="C31"/>
  <c r="F37"/>
  <c r="F36"/>
  <c r="C347"/>
  <c r="C348" s="1"/>
  <c r="E40" i="17"/>
  <c r="E43" s="1"/>
  <c r="B31" i="18" l="1"/>
  <c r="C32"/>
  <c r="D43" i="17"/>
  <c r="R43" s="1"/>
  <c r="R40"/>
  <c r="D37" i="18"/>
  <c r="D36"/>
  <c r="I347"/>
  <c r="B348"/>
  <c r="G284"/>
  <c r="B283"/>
  <c r="G283" s="1"/>
  <c r="B282"/>
  <c r="C34" l="1"/>
  <c r="B32"/>
  <c r="C36" l="1"/>
  <c r="B36" s="1"/>
  <c r="C37"/>
  <c r="B37" s="1"/>
  <c r="B34"/>
</calcChain>
</file>

<file path=xl/comments1.xml><?xml version="1.0" encoding="utf-8"?>
<comments xmlns="http://schemas.openxmlformats.org/spreadsheetml/2006/main">
  <authors>
    <author>HP Customer</author>
  </authors>
  <commentList>
    <comment ref="D6" authorId="0">
      <text>
        <r>
          <rPr>
            <sz val="22"/>
            <color indexed="81"/>
            <rFont val="ＭＳ Ｐゴシック"/>
            <family val="3"/>
            <charset val="128"/>
          </rPr>
          <t>配偶者のみ</t>
        </r>
      </text>
    </comment>
    <comment ref="E6" authorId="0">
      <text>
        <r>
          <rPr>
            <sz val="22"/>
            <color indexed="81"/>
            <rFont val="ＭＳ Ｐゴシック"/>
            <family val="3"/>
            <charset val="128"/>
          </rPr>
          <t>扶養義務者、非上場株取得者のみ</t>
        </r>
      </text>
    </comment>
    <comment ref="F6" authorId="0">
      <text>
        <r>
          <rPr>
            <sz val="22"/>
            <color indexed="81"/>
            <rFont val="ＭＳ Ｐゴシック"/>
            <family val="3"/>
            <charset val="128"/>
          </rPr>
          <t>未成年者のみ</t>
        </r>
      </text>
    </comment>
    <comment ref="G6" authorId="0">
      <text>
        <r>
          <rPr>
            <sz val="22"/>
            <color indexed="81"/>
            <rFont val="ＭＳ Ｐゴシック"/>
            <family val="3"/>
            <charset val="128"/>
          </rPr>
          <t>障害者のみ</t>
        </r>
      </text>
    </comment>
    <comment ref="H6" authorId="0">
      <text>
        <r>
          <rPr>
            <sz val="22"/>
            <color indexed="81"/>
            <rFont val="ＭＳ Ｐゴシック"/>
            <family val="3"/>
            <charset val="128"/>
          </rPr>
          <t>二割加算者のみ</t>
        </r>
      </text>
    </comment>
    <comment ref="I6" authorId="0">
      <text>
        <r>
          <rPr>
            <sz val="22"/>
            <color indexed="81"/>
            <rFont val="ＭＳ Ｐゴシック"/>
            <family val="3"/>
            <charset val="128"/>
          </rPr>
          <t>左側5欄の非該当者のみ</t>
        </r>
      </text>
    </comment>
    <comment ref="J6" authorId="0">
      <text>
        <r>
          <rPr>
            <sz val="22"/>
            <color indexed="81"/>
            <rFont val="ＭＳ Ｐゴシック"/>
            <family val="3"/>
            <charset val="128"/>
          </rPr>
          <t>左側5欄の非該当者のみ</t>
        </r>
      </text>
    </comment>
    <comment ref="K6" authorId="0">
      <text>
        <r>
          <rPr>
            <sz val="22"/>
            <color indexed="81"/>
            <rFont val="ＭＳ Ｐゴシック"/>
            <family val="3"/>
            <charset val="128"/>
          </rPr>
          <t>左側5欄の非該当者のみ</t>
        </r>
      </text>
    </comment>
    <comment ref="L6" authorId="0">
      <text>
        <r>
          <rPr>
            <sz val="22"/>
            <color indexed="81"/>
            <rFont val="ＭＳ Ｐゴシック"/>
            <family val="3"/>
            <charset val="128"/>
          </rPr>
          <t>左側5欄の非該当者のみ</t>
        </r>
      </text>
    </comment>
    <comment ref="M6" authorId="0">
      <text>
        <r>
          <rPr>
            <sz val="22"/>
            <color indexed="81"/>
            <rFont val="ＭＳ Ｐゴシック"/>
            <family val="3"/>
            <charset val="128"/>
          </rPr>
          <t>左側5欄の非該当者のみ</t>
        </r>
      </text>
    </comment>
    <comment ref="N6" authorId="0">
      <text>
        <r>
          <rPr>
            <sz val="22"/>
            <color indexed="81"/>
            <rFont val="ＭＳ Ｐゴシック"/>
            <family val="3"/>
            <charset val="128"/>
          </rPr>
          <t>左側5欄の非該当者のみ</t>
        </r>
      </text>
    </comment>
    <comment ref="O6" authorId="0">
      <text>
        <r>
          <rPr>
            <sz val="22"/>
            <color indexed="81"/>
            <rFont val="ＭＳ Ｐゴシック"/>
            <family val="3"/>
            <charset val="128"/>
          </rPr>
          <t>左側5欄の非該当者のみ</t>
        </r>
      </text>
    </comment>
    <comment ref="P6" authorId="0">
      <text>
        <r>
          <rPr>
            <sz val="22"/>
            <color indexed="81"/>
            <rFont val="ＭＳ Ｐゴシック"/>
            <family val="3"/>
            <charset val="128"/>
          </rPr>
          <t>左側5欄の非該当者のみ</t>
        </r>
      </text>
    </comment>
    <comment ref="Q6" authorId="0">
      <text>
        <r>
          <rPr>
            <sz val="22"/>
            <color indexed="81"/>
            <rFont val="ＭＳ Ｐゴシック"/>
            <family val="3"/>
            <charset val="128"/>
          </rPr>
          <t>左側5欄の非該当者のみ</t>
        </r>
      </text>
    </comment>
    <comment ref="B12" authorId="0">
      <text>
        <r>
          <rPr>
            <sz val="22"/>
            <color indexed="81"/>
            <rFont val="ＭＳ Ｐゴシック"/>
            <family val="3"/>
            <charset val="128"/>
          </rPr>
          <t>特例居住用宅地など、下段減額▲</t>
        </r>
      </text>
    </comment>
    <comment ref="B14" authorId="0">
      <text>
        <r>
          <rPr>
            <sz val="22"/>
            <color indexed="81"/>
            <rFont val="ＭＳ Ｐゴシック"/>
            <family val="3"/>
            <charset val="128"/>
          </rPr>
          <t>特例事業用宅地など、下段減額▲</t>
        </r>
      </text>
    </comment>
    <comment ref="B16" authorId="0">
      <text>
        <r>
          <rPr>
            <sz val="22"/>
            <color indexed="81"/>
            <rFont val="ＭＳ Ｐゴシック"/>
            <family val="3"/>
            <charset val="128"/>
          </rPr>
          <t>特例適用のないもの</t>
        </r>
      </text>
    </comment>
    <comment ref="B20" authorId="0">
      <text>
        <r>
          <rPr>
            <sz val="22"/>
            <color indexed="81"/>
            <rFont val="ＭＳ Ｐゴシック"/>
            <family val="3"/>
            <charset val="128"/>
          </rPr>
          <t>相続税納税猶予適用分  記入第8の２表の③</t>
        </r>
      </text>
    </comment>
    <comment ref="L20" authorId="0">
      <text>
        <r>
          <rPr>
            <sz val="22"/>
            <color indexed="81"/>
            <rFont val="ＭＳ Ｐゴシック"/>
            <family val="3"/>
            <charset val="128"/>
          </rPr>
          <t>上段＋下段で承継会社発行済株式の2/3が限度額</t>
        </r>
      </text>
    </comment>
    <comment ref="N20" authorId="0">
      <text>
        <r>
          <rPr>
            <sz val="22"/>
            <color indexed="81"/>
            <rFont val="ＭＳ Ｐゴシック"/>
            <family val="3"/>
            <charset val="128"/>
          </rPr>
          <t>上段＋下段で承継会社発行済株式の2/3が限度額</t>
        </r>
      </text>
    </comment>
    <comment ref="B22" authorId="0">
      <text>
        <r>
          <rPr>
            <sz val="22"/>
            <color indexed="81"/>
            <rFont val="ＭＳ Ｐゴシック"/>
            <family val="3"/>
            <charset val="128"/>
          </rPr>
          <t>特例以外株式等</t>
        </r>
      </text>
    </comment>
    <comment ref="B26" authorId="0">
      <text>
        <r>
          <rPr>
            <sz val="22"/>
            <color indexed="81"/>
            <rFont val="ＭＳ Ｐゴシック"/>
            <family val="3"/>
            <charset val="128"/>
          </rPr>
          <t>箪笥、鏡台等の家庭用品</t>
        </r>
      </text>
    </comment>
    <comment ref="B28" authorId="0">
      <text>
        <r>
          <rPr>
            <sz val="22"/>
            <color indexed="81"/>
            <rFont val="ＭＳ Ｐゴシック"/>
            <family val="3"/>
            <charset val="128"/>
          </rPr>
          <t>上段受取額、下段控除額▲</t>
        </r>
      </text>
    </comment>
    <comment ref="B30" authorId="0">
      <text>
        <r>
          <rPr>
            <sz val="22"/>
            <color indexed="81"/>
            <rFont val="ＭＳ Ｐゴシック"/>
            <family val="3"/>
            <charset val="128"/>
          </rPr>
          <t>財産適用以外のもの</t>
        </r>
      </text>
    </comment>
    <comment ref="B32" authorId="0">
      <text>
        <r>
          <rPr>
            <sz val="22"/>
            <color indexed="81"/>
            <rFont val="ＭＳ Ｐゴシック"/>
            <family val="3"/>
            <charset val="128"/>
          </rPr>
          <t>遺産の代償のもの</t>
        </r>
      </text>
    </comment>
    <comment ref="B34" authorId="0">
      <text>
        <r>
          <rPr>
            <sz val="22"/>
            <color indexed="81"/>
            <rFont val="ＭＳ Ｐゴシック"/>
            <family val="3"/>
            <charset val="128"/>
          </rPr>
          <t>分割されないもの</t>
        </r>
      </text>
    </comment>
    <comment ref="R36" authorId="0">
      <text>
        <r>
          <rPr>
            <sz val="22"/>
            <color indexed="81"/>
            <rFont val="ＭＳ Ｐゴシック"/>
            <family val="3"/>
            <charset val="128"/>
          </rPr>
          <t>記入第１表①(上段+下段)</t>
        </r>
      </text>
    </comment>
    <comment ref="B38" authorId="0">
      <text>
        <r>
          <rPr>
            <sz val="22"/>
            <color indexed="81"/>
            <rFont val="ＭＳ Ｐゴシック"/>
            <family val="3"/>
            <charset val="128"/>
          </rPr>
          <t>相続時精算の贈与額</t>
        </r>
      </text>
    </comment>
    <comment ref="R38" authorId="0">
      <text>
        <r>
          <rPr>
            <sz val="22"/>
            <color indexed="81"/>
            <rFont val="ＭＳ Ｐゴシック"/>
            <family val="3"/>
            <charset val="128"/>
          </rPr>
          <t>記入第１表②(上段+下段)</t>
        </r>
      </text>
    </comment>
    <comment ref="B41" authorId="0">
      <text>
        <r>
          <rPr>
            <sz val="22"/>
            <color indexed="81"/>
            <rFont val="ＭＳ Ｐゴシック"/>
            <family val="3"/>
            <charset val="128"/>
          </rPr>
          <t>相続税納税猶予適用分</t>
        </r>
      </text>
    </comment>
    <comment ref="R41" authorId="0">
      <text>
        <r>
          <rPr>
            <sz val="22"/>
            <color indexed="81"/>
            <rFont val="ＭＳ Ｐゴシック"/>
            <family val="3"/>
            <charset val="128"/>
          </rPr>
          <t>記入第8表の2表①</t>
        </r>
      </text>
    </comment>
    <comment ref="R42" authorId="0">
      <text>
        <r>
          <rPr>
            <sz val="22"/>
            <color indexed="81"/>
            <rFont val="ＭＳ Ｐゴシック"/>
            <family val="3"/>
            <charset val="128"/>
          </rPr>
          <t>記入第１表③(上段+下段)</t>
        </r>
      </text>
    </comment>
    <comment ref="D44" authorId="0">
      <text>
        <r>
          <rPr>
            <sz val="22"/>
            <color indexed="81"/>
            <rFont val="ＭＳ Ｐゴシック"/>
            <family val="3"/>
            <charset val="128"/>
          </rPr>
          <t>記入第１表④配偶者欄</t>
        </r>
      </text>
    </comment>
    <comment ref="E44" authorId="0">
      <text>
        <r>
          <rPr>
            <sz val="22"/>
            <color indexed="81"/>
            <rFont val="ＭＳ Ｐゴシック"/>
            <family val="3"/>
            <charset val="128"/>
          </rPr>
          <t>記入第１表④該当欄</t>
        </r>
      </text>
    </comment>
    <comment ref="F44" authorId="0">
      <text>
        <r>
          <rPr>
            <sz val="22"/>
            <color indexed="81"/>
            <rFont val="ＭＳ Ｐゴシック"/>
            <family val="3"/>
            <charset val="128"/>
          </rPr>
          <t>記入第１表④該当欄</t>
        </r>
      </text>
    </comment>
    <comment ref="G44" authorId="0">
      <text>
        <r>
          <rPr>
            <sz val="22"/>
            <color indexed="81"/>
            <rFont val="ＭＳ Ｐゴシック"/>
            <family val="3"/>
            <charset val="128"/>
          </rPr>
          <t>記入第１表④該当欄</t>
        </r>
      </text>
    </comment>
    <comment ref="H44" authorId="0">
      <text>
        <r>
          <rPr>
            <sz val="22"/>
            <color indexed="81"/>
            <rFont val="ＭＳ Ｐゴシック"/>
            <family val="3"/>
            <charset val="128"/>
          </rPr>
          <t>記入第１表④該当欄</t>
        </r>
      </text>
    </comment>
    <comment ref="I44" authorId="0">
      <text>
        <r>
          <rPr>
            <sz val="22"/>
            <color indexed="81"/>
            <rFont val="ＭＳ Ｐゴシック"/>
            <family val="3"/>
            <charset val="128"/>
          </rPr>
          <t>記入第１表④該当欄</t>
        </r>
      </text>
    </comment>
    <comment ref="R44" authorId="0">
      <text>
        <r>
          <rPr>
            <sz val="22"/>
            <color indexed="81"/>
            <rFont val="ＭＳ Ｐゴシック"/>
            <family val="3"/>
            <charset val="128"/>
          </rPr>
          <t>記入第１表④合計欄</t>
        </r>
      </text>
    </comment>
    <comment ref="B45" authorId="0">
      <text>
        <r>
          <rPr>
            <sz val="22"/>
            <color indexed="81"/>
            <rFont val="ＭＳ Ｐゴシック"/>
            <family val="3"/>
            <charset val="128"/>
          </rPr>
          <t>暦年精算の贈与額</t>
        </r>
      </text>
    </comment>
    <comment ref="R45" authorId="0">
      <text>
        <r>
          <rPr>
            <sz val="22"/>
            <color indexed="81"/>
            <rFont val="ＭＳ Ｐゴシック"/>
            <family val="3"/>
            <charset val="128"/>
          </rPr>
          <t>記入第1表⑤合計欄(上段＋下段)</t>
        </r>
      </text>
    </comment>
    <comment ref="O55" authorId="0">
      <text>
        <r>
          <rPr>
            <sz val="22"/>
            <color indexed="81"/>
            <rFont val="ＭＳ Ｐゴシック"/>
            <family val="3"/>
            <charset val="128"/>
          </rPr>
          <t>間違えるとERROR表示、やり直し</t>
        </r>
      </text>
    </comment>
    <comment ref="P60" authorId="0">
      <text>
        <r>
          <rPr>
            <sz val="22"/>
            <color indexed="81"/>
            <rFont val="ＭＳ Ｐゴシック"/>
            <family val="3"/>
            <charset val="128"/>
          </rPr>
          <t>記入第1表法定相続人数</t>
        </r>
      </text>
    </comment>
    <comment ref="O64" authorId="0">
      <text>
        <r>
          <rPr>
            <sz val="22"/>
            <color indexed="81"/>
            <rFont val="ＭＳ Ｐゴシック"/>
            <family val="3"/>
            <charset val="128"/>
          </rPr>
          <t>年未満端数切捨て</t>
        </r>
      </text>
    </comment>
    <comment ref="P64" authorId="0">
      <text>
        <r>
          <rPr>
            <sz val="22"/>
            <color indexed="81"/>
            <rFont val="ＭＳ Ｐゴシック"/>
            <family val="3"/>
            <charset val="128"/>
          </rPr>
          <t>記入第6表①</t>
        </r>
      </text>
    </comment>
    <comment ref="O66" authorId="0">
      <text>
        <r>
          <rPr>
            <sz val="22"/>
            <color indexed="81"/>
            <rFont val="ＭＳ Ｐゴシック"/>
            <family val="3"/>
            <charset val="128"/>
          </rPr>
          <t>年未満端数切捨て</t>
        </r>
      </text>
    </comment>
    <comment ref="O68" authorId="0">
      <text>
        <r>
          <rPr>
            <sz val="22"/>
            <color indexed="81"/>
            <rFont val="ＭＳ Ｐゴシック"/>
            <family val="3"/>
            <charset val="128"/>
          </rPr>
          <t>年未満端数切捨て</t>
        </r>
      </text>
    </comment>
    <comment ref="O73" authorId="0">
      <text>
        <r>
          <rPr>
            <sz val="22"/>
            <color indexed="81"/>
            <rFont val="ＭＳ Ｐゴシック"/>
            <family val="3"/>
            <charset val="128"/>
          </rPr>
          <t>この前の相続で取得した財産額</t>
        </r>
      </text>
    </comment>
    <comment ref="O75" authorId="0">
      <text>
        <r>
          <rPr>
            <sz val="22"/>
            <color indexed="81"/>
            <rFont val="ＭＳ Ｐゴシック"/>
            <family val="3"/>
            <charset val="128"/>
          </rPr>
          <t>前の取得財産に対する相続税額</t>
        </r>
      </text>
    </comment>
    <comment ref="O77" authorId="0">
      <text>
        <r>
          <rPr>
            <sz val="22"/>
            <color indexed="81"/>
            <rFont val="ＭＳ Ｐゴシック"/>
            <family val="3"/>
            <charset val="128"/>
          </rPr>
          <t>前相続～経過年、年未満端数切捨て</t>
        </r>
      </text>
    </comment>
  </commentList>
</comments>
</file>

<file path=xl/comments2.xml><?xml version="1.0" encoding="utf-8"?>
<comments xmlns="http://schemas.openxmlformats.org/spreadsheetml/2006/main">
  <authors>
    <author>HP Customer</author>
  </authors>
  <commentList>
    <comment ref="D4" authorId="0">
      <text>
        <r>
          <rPr>
            <sz val="22"/>
            <color indexed="81"/>
            <rFont val="ＭＳ Ｐゴシック"/>
            <family val="3"/>
            <charset val="128"/>
          </rPr>
          <t>記入配偶者欄へ</t>
        </r>
      </text>
    </comment>
    <comment ref="E4" authorId="0">
      <text>
        <r>
          <rPr>
            <sz val="22"/>
            <color indexed="81"/>
            <rFont val="ＭＳ Ｐゴシック"/>
            <family val="3"/>
            <charset val="128"/>
          </rPr>
          <t>記入該当欄へ</t>
        </r>
      </text>
    </comment>
    <comment ref="D5" authorId="0">
      <text>
        <r>
          <rPr>
            <sz val="22"/>
            <color indexed="81"/>
            <rFont val="ＭＳ Ｐゴシック"/>
            <family val="3"/>
            <charset val="128"/>
          </rPr>
          <t>記入第1表続柄配偶者</t>
        </r>
      </text>
    </comment>
    <comment ref="E5" authorId="0">
      <text>
        <r>
          <rPr>
            <sz val="22"/>
            <color indexed="81"/>
            <rFont val="ＭＳ Ｐゴシック"/>
            <family val="3"/>
            <charset val="128"/>
          </rPr>
          <t>記入第1表続柄、第6表④⑤の氏名又は第8の2表の承継人</t>
        </r>
      </text>
    </comment>
    <comment ref="F5" authorId="0">
      <text>
        <r>
          <rPr>
            <sz val="22"/>
            <color indexed="81"/>
            <rFont val="ＭＳ Ｐゴシック"/>
            <family val="3"/>
            <charset val="128"/>
          </rPr>
          <t>記入第1表続柄、第6表未成年者氏名</t>
        </r>
      </text>
    </comment>
    <comment ref="G5" authorId="0">
      <text>
        <r>
          <rPr>
            <sz val="22"/>
            <color indexed="81"/>
            <rFont val="ＭＳ Ｐゴシック"/>
            <family val="3"/>
            <charset val="128"/>
          </rPr>
          <t>記入第1表続柄、第6表障害者氏名</t>
        </r>
      </text>
    </comment>
    <comment ref="H5" authorId="0">
      <text>
        <r>
          <rPr>
            <sz val="22"/>
            <color indexed="81"/>
            <rFont val="ＭＳ Ｐゴシック"/>
            <family val="3"/>
            <charset val="128"/>
          </rPr>
          <t>記入第1表続柄、第4表加算者氏名、継承、</t>
        </r>
      </text>
    </comment>
    <comment ref="I5" authorId="0">
      <text>
        <r>
          <rPr>
            <sz val="22"/>
            <color indexed="81"/>
            <rFont val="ＭＳ Ｐゴシック"/>
            <family val="3"/>
            <charset val="128"/>
          </rPr>
          <t>記入第1表続柄</t>
        </r>
      </text>
    </comment>
    <comment ref="J5" authorId="0">
      <text>
        <r>
          <rPr>
            <sz val="22"/>
            <color indexed="81"/>
            <rFont val="ＭＳ Ｐゴシック"/>
            <family val="3"/>
            <charset val="128"/>
          </rPr>
          <t>記入第1表続柄</t>
        </r>
      </text>
    </comment>
    <comment ref="K5" authorId="0">
      <text>
        <r>
          <rPr>
            <sz val="22"/>
            <color indexed="81"/>
            <rFont val="ＭＳ Ｐゴシック"/>
            <family val="3"/>
            <charset val="128"/>
          </rPr>
          <t>記入第1表続柄</t>
        </r>
      </text>
    </comment>
    <comment ref="L5" authorId="0">
      <text>
        <r>
          <rPr>
            <sz val="22"/>
            <color indexed="81"/>
            <rFont val="ＭＳ Ｐゴシック"/>
            <family val="3"/>
            <charset val="128"/>
          </rPr>
          <t>記入第1表続柄</t>
        </r>
      </text>
    </comment>
    <comment ref="M5" authorId="0">
      <text>
        <r>
          <rPr>
            <sz val="22"/>
            <color indexed="81"/>
            <rFont val="ＭＳ Ｐゴシック"/>
            <family val="3"/>
            <charset val="128"/>
          </rPr>
          <t>記入第1表続柄</t>
        </r>
      </text>
    </comment>
    <comment ref="N5" authorId="0">
      <text>
        <r>
          <rPr>
            <sz val="22"/>
            <color indexed="81"/>
            <rFont val="ＭＳ Ｐゴシック"/>
            <family val="3"/>
            <charset val="128"/>
          </rPr>
          <t>記入第1表続柄</t>
        </r>
      </text>
    </comment>
    <comment ref="Q5" authorId="0">
      <text>
        <r>
          <rPr>
            <sz val="22"/>
            <color indexed="81"/>
            <rFont val="ＭＳ Ｐゴシック"/>
            <family val="3"/>
            <charset val="128"/>
          </rPr>
          <t>記入第1表続柄</t>
        </r>
      </text>
    </comment>
    <comment ref="D6" authorId="0">
      <text>
        <r>
          <rPr>
            <sz val="22"/>
            <color indexed="81"/>
            <rFont val="ＭＳ Ｐゴシック"/>
            <family val="3"/>
            <charset val="128"/>
          </rPr>
          <t>記入第１表⑥該当欄</t>
        </r>
      </text>
    </comment>
    <comment ref="E6" authorId="0">
      <text>
        <r>
          <rPr>
            <sz val="22"/>
            <color indexed="81"/>
            <rFont val="ＭＳ Ｐゴシック"/>
            <family val="3"/>
            <charset val="128"/>
          </rPr>
          <t>記入第１表⑥該当欄</t>
        </r>
      </text>
    </comment>
    <comment ref="F6" authorId="0">
      <text>
        <r>
          <rPr>
            <sz val="22"/>
            <color indexed="81"/>
            <rFont val="ＭＳ Ｐゴシック"/>
            <family val="3"/>
            <charset val="128"/>
          </rPr>
          <t>記入第１表⑥該当欄</t>
        </r>
      </text>
    </comment>
    <comment ref="G6" authorId="0">
      <text>
        <r>
          <rPr>
            <sz val="22"/>
            <color indexed="81"/>
            <rFont val="ＭＳ Ｐゴシック"/>
            <family val="3"/>
            <charset val="128"/>
          </rPr>
          <t>記入第１表⑥該当欄</t>
        </r>
      </text>
    </comment>
    <comment ref="H6" authorId="0">
      <text>
        <r>
          <rPr>
            <sz val="22"/>
            <color indexed="81"/>
            <rFont val="ＭＳ Ｐゴシック"/>
            <family val="3"/>
            <charset val="128"/>
          </rPr>
          <t>記入第１表⑥該当欄</t>
        </r>
      </text>
    </comment>
    <comment ref="I6" authorId="0">
      <text>
        <r>
          <rPr>
            <sz val="22"/>
            <color indexed="81"/>
            <rFont val="ＭＳ Ｐゴシック"/>
            <family val="3"/>
            <charset val="128"/>
          </rPr>
          <t xml:space="preserve">記入第１表⑥該当欄
</t>
        </r>
      </text>
    </comment>
    <comment ref="J6" authorId="0">
      <text>
        <r>
          <rPr>
            <sz val="22"/>
            <color indexed="81"/>
            <rFont val="ＭＳ Ｐゴシック"/>
            <family val="3"/>
            <charset val="128"/>
          </rPr>
          <t>記入第１表⑥該当欄</t>
        </r>
      </text>
    </comment>
    <comment ref="K6" authorId="0">
      <text>
        <r>
          <rPr>
            <sz val="22"/>
            <color indexed="81"/>
            <rFont val="ＭＳ Ｐゴシック"/>
            <family val="3"/>
            <charset val="128"/>
          </rPr>
          <t>記入第１表⑥該当欄</t>
        </r>
      </text>
    </comment>
    <comment ref="L6" authorId="0">
      <text>
        <r>
          <rPr>
            <sz val="22"/>
            <color indexed="81"/>
            <rFont val="ＭＳ Ｐゴシック"/>
            <family val="3"/>
            <charset val="128"/>
          </rPr>
          <t>記入第１表⑥該当欄</t>
        </r>
      </text>
    </comment>
    <comment ref="M6" authorId="0">
      <text>
        <r>
          <rPr>
            <sz val="22"/>
            <color indexed="81"/>
            <rFont val="ＭＳ Ｐゴシック"/>
            <family val="3"/>
            <charset val="128"/>
          </rPr>
          <t>記入第１表⑥該当欄</t>
        </r>
      </text>
    </comment>
    <comment ref="N6" authorId="0">
      <text>
        <r>
          <rPr>
            <sz val="22"/>
            <color indexed="81"/>
            <rFont val="ＭＳ Ｐゴシック"/>
            <family val="3"/>
            <charset val="128"/>
          </rPr>
          <t>記入第１表⑥該当欄</t>
        </r>
      </text>
    </comment>
    <comment ref="Q6" authorId="0">
      <text>
        <r>
          <rPr>
            <sz val="22"/>
            <color indexed="81"/>
            <rFont val="ＭＳ Ｐゴシック"/>
            <family val="3"/>
            <charset val="128"/>
          </rPr>
          <t>記入第１表⑥該当欄</t>
        </r>
      </text>
    </comment>
    <comment ref="R6" authorId="0">
      <text>
        <r>
          <rPr>
            <sz val="22"/>
            <color indexed="81"/>
            <rFont val="ＭＳ Ｐゴシック"/>
            <family val="3"/>
            <charset val="128"/>
          </rPr>
          <t>記入第１表⑥合計欄</t>
        </r>
      </text>
    </comment>
    <comment ref="S6" authorId="0">
      <text>
        <r>
          <rPr>
            <sz val="22"/>
            <color indexed="81"/>
            <rFont val="ＭＳ Ｐゴシック"/>
            <family val="3"/>
            <charset val="128"/>
          </rPr>
          <t>記入第１表⑥</t>
        </r>
      </text>
    </comment>
    <comment ref="E7" authorId="0">
      <text>
        <r>
          <rPr>
            <sz val="22"/>
            <color indexed="81"/>
            <rFont val="ＭＳ Ｐゴシック"/>
            <family val="3"/>
            <charset val="128"/>
          </rPr>
          <t>記入第8の2表１(1)①</t>
        </r>
      </text>
    </comment>
    <comment ref="H7" authorId="0">
      <text>
        <r>
          <rPr>
            <sz val="22"/>
            <color indexed="81"/>
            <rFont val="ＭＳ Ｐゴシック"/>
            <family val="3"/>
            <charset val="128"/>
          </rPr>
          <t>事業承継者が養子の場合入力</t>
        </r>
      </text>
    </comment>
    <comment ref="S7" authorId="0">
      <text>
        <r>
          <rPr>
            <sz val="22"/>
            <color indexed="81"/>
            <rFont val="ＭＳ Ｐゴシック"/>
            <family val="3"/>
            <charset val="128"/>
          </rPr>
          <t>記入第８の２表⑤</t>
        </r>
      </text>
    </comment>
    <comment ref="R8" authorId="0">
      <text>
        <r>
          <rPr>
            <sz val="22"/>
            <color indexed="81"/>
            <rFont val="ＭＳ Ｐゴシック"/>
            <family val="3"/>
            <charset val="128"/>
          </rPr>
          <t>記入第１表合計Ｂ、第8の2表1(1)⑥</t>
        </r>
      </text>
    </comment>
    <comment ref="H9" authorId="0">
      <text>
        <r>
          <rPr>
            <sz val="22"/>
            <color indexed="81"/>
            <rFont val="ＭＳ Ｐゴシック"/>
            <family val="3"/>
            <charset val="128"/>
          </rPr>
          <t>記入第1表B上段欄</t>
        </r>
      </text>
    </comment>
    <comment ref="P10" authorId="0">
      <text>
        <r>
          <rPr>
            <sz val="22"/>
            <color indexed="81"/>
            <rFont val="ＭＳ Ｐゴシック"/>
            <family val="3"/>
            <charset val="128"/>
          </rPr>
          <t>記入第8の2表1(1)⑤</t>
        </r>
      </text>
    </comment>
    <comment ref="Q10" authorId="0">
      <text>
        <r>
          <rPr>
            <sz val="22"/>
            <color indexed="81"/>
            <rFont val="ＭＳ Ｐゴシック"/>
            <family val="3"/>
            <charset val="128"/>
          </rPr>
          <t>記入第8の2表1(1)⑧</t>
        </r>
      </text>
    </comment>
    <comment ref="R10" authorId="0">
      <text>
        <r>
          <rPr>
            <sz val="22"/>
            <color indexed="81"/>
            <rFont val="ＭＳ Ｐゴシック"/>
            <family val="3"/>
            <charset val="128"/>
          </rPr>
          <t>記入第8の2表1(1)⑦</t>
        </r>
      </text>
    </comment>
    <comment ref="R14" authorId="0">
      <text>
        <r>
          <rPr>
            <sz val="22"/>
            <color indexed="81"/>
            <rFont val="ＭＳ Ｐゴシック"/>
            <family val="3"/>
            <charset val="128"/>
          </rPr>
          <t xml:space="preserve">記入第１表⑦合計欄
</t>
        </r>
      </text>
    </comment>
    <comment ref="R18" authorId="0">
      <text>
        <r>
          <rPr>
            <sz val="22"/>
            <color indexed="81"/>
            <rFont val="ＭＳ Ｐゴシック"/>
            <family val="3"/>
            <charset val="128"/>
          </rPr>
          <t>記入第8の2表1(2)⑮</t>
        </r>
      </text>
    </comment>
    <comment ref="E19" authorId="0">
      <text>
        <r>
          <rPr>
            <sz val="22"/>
            <color indexed="81"/>
            <rFont val="ＭＳ Ｐゴシック"/>
            <family val="3"/>
            <charset val="128"/>
          </rPr>
          <t>記入第5表1イ欄</t>
        </r>
      </text>
    </comment>
    <comment ref="R19" authorId="0">
      <text>
        <r>
          <rPr>
            <sz val="22"/>
            <color indexed="81"/>
            <rFont val="ＭＳ Ｐゴシック"/>
            <family val="3"/>
            <charset val="128"/>
          </rPr>
          <t>記入第8の2表2③</t>
        </r>
      </text>
    </comment>
    <comment ref="R23" authorId="0">
      <text>
        <r>
          <rPr>
            <sz val="22"/>
            <color indexed="81"/>
            <rFont val="ＭＳ Ｐゴシック"/>
            <family val="3"/>
            <charset val="128"/>
          </rPr>
          <t>記入第8の2表1(2)⑯</t>
        </r>
      </text>
    </comment>
    <comment ref="Q24" authorId="0">
      <text>
        <r>
          <rPr>
            <sz val="22"/>
            <color indexed="81"/>
            <rFont val="ＭＳ Ｐゴシック"/>
            <family val="3"/>
            <charset val="128"/>
          </rPr>
          <t>記入第8の2表1(1)④</t>
        </r>
      </text>
    </comment>
    <comment ref="R24" authorId="0">
      <text>
        <r>
          <rPr>
            <sz val="22"/>
            <color indexed="81"/>
            <rFont val="ＭＳ Ｐゴシック"/>
            <family val="3"/>
            <charset val="128"/>
          </rPr>
          <t>記入第8の2表2b</t>
        </r>
      </text>
    </comment>
    <comment ref="S24" authorId="0">
      <text>
        <r>
          <rPr>
            <sz val="22"/>
            <color indexed="81"/>
            <rFont val="ＭＳ Ｐゴシック"/>
            <family val="3"/>
            <charset val="128"/>
          </rPr>
          <t>通常承継者欄</t>
        </r>
      </text>
    </comment>
    <comment ref="R25" authorId="0">
      <text>
        <r>
          <rPr>
            <sz val="22"/>
            <color indexed="81"/>
            <rFont val="ＭＳ Ｐゴシック"/>
            <family val="3"/>
            <charset val="128"/>
          </rPr>
          <t>記入第8の2表2b</t>
        </r>
      </text>
    </comment>
    <comment ref="S25" authorId="0">
      <text>
        <r>
          <rPr>
            <sz val="22"/>
            <color indexed="81"/>
            <rFont val="ＭＳ Ｐゴシック"/>
            <family val="3"/>
            <charset val="128"/>
          </rPr>
          <t>承継者且2割税額加算者欄</t>
        </r>
      </text>
    </comment>
    <comment ref="R26" authorId="0">
      <text>
        <r>
          <rPr>
            <sz val="22"/>
            <color indexed="81"/>
            <rFont val="ＭＳ Ｐゴシック"/>
            <family val="3"/>
            <charset val="128"/>
          </rPr>
          <t>記入第1表合計欄23、第8の2表⑩</t>
        </r>
      </text>
    </comment>
    <comment ref="D27" authorId="0">
      <text>
        <r>
          <rPr>
            <sz val="22"/>
            <color indexed="81"/>
            <rFont val="ＭＳ Ｐゴシック"/>
            <family val="3"/>
            <charset val="128"/>
          </rPr>
          <t>記入第1表⑧該当欄</t>
        </r>
      </text>
    </comment>
    <comment ref="E27" authorId="0">
      <text>
        <r>
          <rPr>
            <sz val="22"/>
            <color indexed="81"/>
            <rFont val="ＭＳ Ｐゴシック"/>
            <family val="3"/>
            <charset val="128"/>
          </rPr>
          <t>記入第1表⑧該当欄</t>
        </r>
      </text>
    </comment>
    <comment ref="F27" authorId="0">
      <text>
        <r>
          <rPr>
            <sz val="22"/>
            <color indexed="81"/>
            <rFont val="ＭＳ Ｐゴシック"/>
            <family val="3"/>
            <charset val="128"/>
          </rPr>
          <t>記入第1表⑧該当欄</t>
        </r>
      </text>
    </comment>
    <comment ref="G27" authorId="0">
      <text>
        <r>
          <rPr>
            <sz val="22"/>
            <color indexed="81"/>
            <rFont val="ＭＳ Ｐゴシック"/>
            <family val="3"/>
            <charset val="128"/>
          </rPr>
          <t>記入第1表⑧該当欄</t>
        </r>
      </text>
    </comment>
    <comment ref="H27" authorId="0">
      <text>
        <r>
          <rPr>
            <sz val="22"/>
            <color indexed="81"/>
            <rFont val="ＭＳ Ｐゴシック"/>
            <family val="3"/>
            <charset val="128"/>
          </rPr>
          <t>記入第1表⑧該当欄</t>
        </r>
      </text>
    </comment>
    <comment ref="I27" authorId="0">
      <text>
        <r>
          <rPr>
            <sz val="22"/>
            <color indexed="81"/>
            <rFont val="ＭＳ Ｐゴシック"/>
            <family val="3"/>
            <charset val="128"/>
          </rPr>
          <t>記入第1表⑧該当欄</t>
        </r>
      </text>
    </comment>
    <comment ref="J27" authorId="0">
      <text>
        <r>
          <rPr>
            <sz val="22"/>
            <color indexed="81"/>
            <rFont val="ＭＳ Ｐゴシック"/>
            <family val="3"/>
            <charset val="128"/>
          </rPr>
          <t>記入第1表⑧該当欄</t>
        </r>
      </text>
    </comment>
    <comment ref="K27" authorId="0">
      <text>
        <r>
          <rPr>
            <sz val="22"/>
            <color indexed="81"/>
            <rFont val="ＭＳ Ｐゴシック"/>
            <family val="3"/>
            <charset val="128"/>
          </rPr>
          <t>記入第1表⑧該当欄</t>
        </r>
      </text>
    </comment>
    <comment ref="L27" authorId="0">
      <text>
        <r>
          <rPr>
            <sz val="22"/>
            <color indexed="81"/>
            <rFont val="ＭＳ Ｐゴシック"/>
            <family val="3"/>
            <charset val="128"/>
          </rPr>
          <t>記入第1表⑧該当欄</t>
        </r>
      </text>
    </comment>
    <comment ref="M27" authorId="0">
      <text>
        <r>
          <rPr>
            <sz val="22"/>
            <color indexed="81"/>
            <rFont val="ＭＳ Ｐゴシック"/>
            <family val="3"/>
            <charset val="128"/>
          </rPr>
          <t>記入第1表⑧該当欄</t>
        </r>
      </text>
    </comment>
    <comment ref="N27" authorId="0">
      <text>
        <r>
          <rPr>
            <sz val="22"/>
            <color indexed="81"/>
            <rFont val="ＭＳ Ｐゴシック"/>
            <family val="3"/>
            <charset val="128"/>
          </rPr>
          <t>記入第1表⑧該当欄</t>
        </r>
      </text>
    </comment>
    <comment ref="Q27" authorId="0">
      <text>
        <r>
          <rPr>
            <sz val="22"/>
            <color indexed="81"/>
            <rFont val="ＭＳ Ｐゴシック"/>
            <family val="3"/>
            <charset val="128"/>
          </rPr>
          <t>記入第1表⑧該当欄</t>
        </r>
      </text>
    </comment>
    <comment ref="R27" authorId="0">
      <text>
        <r>
          <rPr>
            <sz val="22"/>
            <color indexed="81"/>
            <rFont val="ＭＳ Ｐゴシック"/>
            <family val="3"/>
            <charset val="128"/>
          </rPr>
          <t>記入第1表⑧合計欄</t>
        </r>
      </text>
    </comment>
    <comment ref="D28" authorId="0">
      <text>
        <r>
          <rPr>
            <sz val="22"/>
            <color indexed="81"/>
            <rFont val="ＭＳ Ｐゴシック"/>
            <family val="3"/>
            <charset val="128"/>
          </rPr>
          <t>記入第1表⑨該当欄</t>
        </r>
      </text>
    </comment>
    <comment ref="E28" authorId="0">
      <text>
        <r>
          <rPr>
            <sz val="22"/>
            <color indexed="81"/>
            <rFont val="ＭＳ Ｐゴシック"/>
            <family val="3"/>
            <charset val="128"/>
          </rPr>
          <t>記入第1表⑨該当欄、第8の2表2⑥</t>
        </r>
      </text>
    </comment>
    <comment ref="F28" authorId="0">
      <text>
        <r>
          <rPr>
            <sz val="22"/>
            <color indexed="81"/>
            <rFont val="ＭＳ Ｐゴシック"/>
            <family val="3"/>
            <charset val="128"/>
          </rPr>
          <t>記入第1表⑨該当欄</t>
        </r>
      </text>
    </comment>
    <comment ref="G28" authorId="0">
      <text>
        <r>
          <rPr>
            <sz val="22"/>
            <color indexed="81"/>
            <rFont val="ＭＳ Ｐゴシック"/>
            <family val="3"/>
            <charset val="128"/>
          </rPr>
          <t>記入第1表⑨該当欄</t>
        </r>
      </text>
    </comment>
    <comment ref="H28" authorId="0">
      <text>
        <r>
          <rPr>
            <sz val="22"/>
            <color indexed="81"/>
            <rFont val="ＭＳ Ｐゴシック"/>
            <family val="3"/>
            <charset val="128"/>
          </rPr>
          <t>記入第1表⑨該当欄</t>
        </r>
      </text>
    </comment>
    <comment ref="I28" authorId="0">
      <text>
        <r>
          <rPr>
            <sz val="22"/>
            <color indexed="81"/>
            <rFont val="ＭＳ Ｐゴシック"/>
            <family val="3"/>
            <charset val="128"/>
          </rPr>
          <t>記入第1表⑨該当欄</t>
        </r>
      </text>
    </comment>
    <comment ref="J28" authorId="0">
      <text>
        <r>
          <rPr>
            <sz val="22"/>
            <color indexed="81"/>
            <rFont val="ＭＳ Ｐゴシック"/>
            <family val="3"/>
            <charset val="128"/>
          </rPr>
          <t>記入第1表⑨該当欄</t>
        </r>
      </text>
    </comment>
    <comment ref="K28" authorId="0">
      <text>
        <r>
          <rPr>
            <sz val="22"/>
            <color indexed="81"/>
            <rFont val="ＭＳ Ｐゴシック"/>
            <family val="3"/>
            <charset val="128"/>
          </rPr>
          <t>記入第1表⑨該当欄</t>
        </r>
      </text>
    </comment>
    <comment ref="L28" authorId="0">
      <text>
        <r>
          <rPr>
            <sz val="22"/>
            <color indexed="81"/>
            <rFont val="ＭＳ Ｐゴシック"/>
            <family val="3"/>
            <charset val="128"/>
          </rPr>
          <t>記入第1表⑨該当欄</t>
        </r>
      </text>
    </comment>
    <comment ref="M28" authorId="0">
      <text>
        <r>
          <rPr>
            <sz val="22"/>
            <color indexed="81"/>
            <rFont val="ＭＳ Ｐゴシック"/>
            <family val="3"/>
            <charset val="128"/>
          </rPr>
          <t>記入第1表⑨該当欄</t>
        </r>
      </text>
    </comment>
    <comment ref="N28" authorId="0">
      <text>
        <r>
          <rPr>
            <sz val="22"/>
            <color indexed="81"/>
            <rFont val="ＭＳ Ｐゴシック"/>
            <family val="3"/>
            <charset val="128"/>
          </rPr>
          <t>記入第1表⑨該当欄</t>
        </r>
      </text>
    </comment>
    <comment ref="Q28" authorId="0">
      <text>
        <r>
          <rPr>
            <sz val="22"/>
            <color indexed="81"/>
            <rFont val="ＭＳ Ｐゴシック"/>
            <family val="3"/>
            <charset val="128"/>
          </rPr>
          <t>記入第1表⑨該当欄</t>
        </r>
      </text>
    </comment>
    <comment ref="H31" authorId="0">
      <text>
        <r>
          <rPr>
            <sz val="22"/>
            <color indexed="81"/>
            <rFont val="ＭＳ Ｐゴシック"/>
            <family val="3"/>
            <charset val="128"/>
          </rPr>
          <t>記入第１表⑪該当欄</t>
        </r>
      </text>
    </comment>
    <comment ref="R31" authorId="0">
      <text>
        <r>
          <rPr>
            <sz val="22"/>
            <color indexed="81"/>
            <rFont val="ＭＳ Ｐゴシック"/>
            <family val="3"/>
            <charset val="128"/>
          </rPr>
          <t>記入第１表⑪合計欄</t>
        </r>
      </text>
    </comment>
    <comment ref="D32" authorId="0">
      <text>
        <r>
          <rPr>
            <sz val="22"/>
            <color indexed="81"/>
            <rFont val="ＭＳ Ｐゴシック"/>
            <family val="3"/>
            <charset val="128"/>
          </rPr>
          <t>記入第１表⑫該当欄</t>
        </r>
      </text>
    </comment>
    <comment ref="R32" authorId="0">
      <text>
        <r>
          <rPr>
            <sz val="22"/>
            <color indexed="81"/>
            <rFont val="ＭＳ Ｐゴシック"/>
            <family val="3"/>
            <charset val="128"/>
          </rPr>
          <t>記入第１表⑫合計欄</t>
        </r>
      </text>
    </comment>
    <comment ref="D33" authorId="0">
      <text>
        <r>
          <rPr>
            <sz val="22"/>
            <color indexed="81"/>
            <rFont val="ＭＳ Ｐゴシック"/>
            <family val="3"/>
            <charset val="128"/>
          </rPr>
          <t xml:space="preserve">記入第１表⑬該当欄
</t>
        </r>
      </text>
    </comment>
    <comment ref="R33" authorId="0">
      <text>
        <r>
          <rPr>
            <sz val="22"/>
            <color indexed="81"/>
            <rFont val="ＭＳ Ｐゴシック"/>
            <family val="3"/>
            <charset val="128"/>
          </rPr>
          <t>記入第１表⑬合計欄</t>
        </r>
      </text>
    </comment>
    <comment ref="E34" authorId="0">
      <text>
        <r>
          <rPr>
            <sz val="22"/>
            <color indexed="81"/>
            <rFont val="ＭＳ Ｐゴシック"/>
            <family val="3"/>
            <charset val="128"/>
          </rPr>
          <t>記入第１表⑭該当欄</t>
        </r>
      </text>
    </comment>
    <comment ref="F34" authorId="0">
      <text>
        <r>
          <rPr>
            <sz val="22"/>
            <color indexed="81"/>
            <rFont val="ＭＳ Ｐゴシック"/>
            <family val="3"/>
            <charset val="128"/>
          </rPr>
          <t>記入第１表⑭該当欄</t>
        </r>
      </text>
    </comment>
    <comment ref="R34" authorId="0">
      <text>
        <r>
          <rPr>
            <sz val="22"/>
            <color indexed="81"/>
            <rFont val="ＭＳ Ｐゴシック"/>
            <family val="3"/>
            <charset val="128"/>
          </rPr>
          <t>記入第１表⑭合計欄</t>
        </r>
      </text>
    </comment>
    <comment ref="E35" authorId="0">
      <text>
        <r>
          <rPr>
            <sz val="22"/>
            <color indexed="81"/>
            <rFont val="ＭＳ Ｐゴシック"/>
            <family val="3"/>
            <charset val="128"/>
          </rPr>
          <t>記入第１表⑮該当欄</t>
        </r>
      </text>
    </comment>
    <comment ref="G35" authorId="0">
      <text>
        <r>
          <rPr>
            <sz val="22"/>
            <color indexed="81"/>
            <rFont val="ＭＳ Ｐゴシック"/>
            <family val="3"/>
            <charset val="128"/>
          </rPr>
          <t>記入第１表⑮該当欄</t>
        </r>
      </text>
    </comment>
    <comment ref="R35" authorId="0">
      <text>
        <r>
          <rPr>
            <sz val="22"/>
            <color indexed="81"/>
            <rFont val="ＭＳ Ｐゴシック"/>
            <family val="3"/>
            <charset val="128"/>
          </rPr>
          <t>記入第１表⑮合計欄</t>
        </r>
      </text>
    </comment>
    <comment ref="D36" authorId="0">
      <text>
        <r>
          <rPr>
            <sz val="22"/>
            <color indexed="81"/>
            <rFont val="ＭＳ Ｐゴシック"/>
            <family val="3"/>
            <charset val="128"/>
          </rPr>
          <t>記入第7表⑫該当欄</t>
        </r>
      </text>
    </comment>
    <comment ref="E36" authorId="0">
      <text>
        <r>
          <rPr>
            <sz val="22"/>
            <color indexed="81"/>
            <rFont val="ＭＳ Ｐゴシック"/>
            <family val="3"/>
            <charset val="128"/>
          </rPr>
          <t>記入第7表⑫該当欄</t>
        </r>
      </text>
    </comment>
    <comment ref="F36" authorId="0">
      <text>
        <r>
          <rPr>
            <sz val="22"/>
            <color indexed="81"/>
            <rFont val="ＭＳ Ｐゴシック"/>
            <family val="3"/>
            <charset val="128"/>
          </rPr>
          <t>記入第7表⑫該当欄</t>
        </r>
      </text>
    </comment>
    <comment ref="G36" authorId="0">
      <text>
        <r>
          <rPr>
            <sz val="22"/>
            <color indexed="81"/>
            <rFont val="ＭＳ Ｐゴシック"/>
            <family val="3"/>
            <charset val="128"/>
          </rPr>
          <t>記入第7表⑫該当欄</t>
        </r>
      </text>
    </comment>
    <comment ref="H36" authorId="0">
      <text>
        <r>
          <rPr>
            <sz val="22"/>
            <color indexed="81"/>
            <rFont val="ＭＳ Ｐゴシック"/>
            <family val="3"/>
            <charset val="128"/>
          </rPr>
          <t>記入第7表⑫該当欄</t>
        </r>
      </text>
    </comment>
    <comment ref="I36" authorId="0">
      <text>
        <r>
          <rPr>
            <sz val="22"/>
            <color indexed="81"/>
            <rFont val="ＭＳ Ｐゴシック"/>
            <family val="3"/>
            <charset val="128"/>
          </rPr>
          <t>記入第7表⑫該当欄</t>
        </r>
      </text>
    </comment>
    <comment ref="J36" authorId="0">
      <text>
        <r>
          <rPr>
            <sz val="22"/>
            <color indexed="81"/>
            <rFont val="ＭＳ Ｐゴシック"/>
            <family val="3"/>
            <charset val="128"/>
          </rPr>
          <t>記入第7表⑫該当欄</t>
        </r>
      </text>
    </comment>
    <comment ref="K36" authorId="0">
      <text>
        <r>
          <rPr>
            <sz val="22"/>
            <color indexed="81"/>
            <rFont val="ＭＳ Ｐゴシック"/>
            <family val="3"/>
            <charset val="128"/>
          </rPr>
          <t>記入第7表⑫該当欄</t>
        </r>
      </text>
    </comment>
    <comment ref="L36" authorId="0">
      <text>
        <r>
          <rPr>
            <sz val="22"/>
            <color indexed="81"/>
            <rFont val="ＭＳ Ｐゴシック"/>
            <family val="3"/>
            <charset val="128"/>
          </rPr>
          <t>記入第7表⑫該当欄</t>
        </r>
      </text>
    </comment>
    <comment ref="M36" authorId="0">
      <text>
        <r>
          <rPr>
            <sz val="22"/>
            <color indexed="81"/>
            <rFont val="ＭＳ Ｐゴシック"/>
            <family val="3"/>
            <charset val="128"/>
          </rPr>
          <t>記入第7表⑫該当欄</t>
        </r>
      </text>
    </comment>
    <comment ref="N36" authorId="0">
      <text>
        <r>
          <rPr>
            <sz val="22"/>
            <color indexed="81"/>
            <rFont val="ＭＳ Ｐゴシック"/>
            <family val="3"/>
            <charset val="128"/>
          </rPr>
          <t>記入第7表⑫該当欄</t>
        </r>
      </text>
    </comment>
    <comment ref="Q36" authorId="0">
      <text>
        <r>
          <rPr>
            <sz val="22"/>
            <color indexed="81"/>
            <rFont val="ＭＳ Ｐゴシック"/>
            <family val="3"/>
            <charset val="128"/>
          </rPr>
          <t>記入第7表⑫該当欄</t>
        </r>
      </text>
    </comment>
    <comment ref="D37" authorId="0">
      <text>
        <r>
          <rPr>
            <sz val="22"/>
            <color indexed="81"/>
            <rFont val="ＭＳ Ｐゴシック"/>
            <family val="3"/>
            <charset val="128"/>
          </rPr>
          <t>記入第１表⑯該当欄</t>
        </r>
      </text>
    </comment>
    <comment ref="E37" authorId="0">
      <text>
        <r>
          <rPr>
            <sz val="22"/>
            <color indexed="81"/>
            <rFont val="ＭＳ Ｐゴシック"/>
            <family val="3"/>
            <charset val="128"/>
          </rPr>
          <t>記入第１表⑯該当欄</t>
        </r>
      </text>
    </comment>
    <comment ref="F37" authorId="0">
      <text>
        <r>
          <rPr>
            <sz val="22"/>
            <color indexed="81"/>
            <rFont val="ＭＳ Ｐゴシック"/>
            <family val="3"/>
            <charset val="128"/>
          </rPr>
          <t>記入第１表⑯該当欄</t>
        </r>
      </text>
    </comment>
    <comment ref="G37" authorId="0">
      <text>
        <r>
          <rPr>
            <sz val="22"/>
            <color indexed="81"/>
            <rFont val="ＭＳ Ｐゴシック"/>
            <family val="3"/>
            <charset val="128"/>
          </rPr>
          <t>記入第１表⑯該当欄</t>
        </r>
      </text>
    </comment>
    <comment ref="H37" authorId="0">
      <text>
        <r>
          <rPr>
            <sz val="22"/>
            <color indexed="81"/>
            <rFont val="ＭＳ Ｐゴシック"/>
            <family val="3"/>
            <charset val="128"/>
          </rPr>
          <t>記入第１表⑯該当欄</t>
        </r>
      </text>
    </comment>
    <comment ref="I37" authorId="0">
      <text>
        <r>
          <rPr>
            <sz val="22"/>
            <color indexed="81"/>
            <rFont val="ＭＳ Ｐゴシック"/>
            <family val="3"/>
            <charset val="128"/>
          </rPr>
          <t>記入第１表⑯該当欄</t>
        </r>
      </text>
    </comment>
    <comment ref="J37" authorId="0">
      <text>
        <r>
          <rPr>
            <sz val="22"/>
            <color indexed="81"/>
            <rFont val="ＭＳ Ｐゴシック"/>
            <family val="3"/>
            <charset val="128"/>
          </rPr>
          <t>記入第１表⑯該当欄</t>
        </r>
      </text>
    </comment>
    <comment ref="K37" authorId="0">
      <text>
        <r>
          <rPr>
            <sz val="22"/>
            <color indexed="81"/>
            <rFont val="ＭＳ Ｐゴシック"/>
            <family val="3"/>
            <charset val="128"/>
          </rPr>
          <t>記入第１表⑯該当欄</t>
        </r>
      </text>
    </comment>
    <comment ref="L37" authorId="0">
      <text>
        <r>
          <rPr>
            <sz val="22"/>
            <color indexed="81"/>
            <rFont val="ＭＳ Ｐゴシック"/>
            <family val="3"/>
            <charset val="128"/>
          </rPr>
          <t>記入第１表⑯該当欄</t>
        </r>
      </text>
    </comment>
    <comment ref="M37" authorId="0">
      <text>
        <r>
          <rPr>
            <sz val="22"/>
            <color indexed="81"/>
            <rFont val="ＭＳ Ｐゴシック"/>
            <family val="3"/>
            <charset val="128"/>
          </rPr>
          <t>記入第１表⑯該当欄</t>
        </r>
      </text>
    </comment>
    <comment ref="N37" authorId="0">
      <text>
        <r>
          <rPr>
            <sz val="22"/>
            <color indexed="81"/>
            <rFont val="ＭＳ Ｐゴシック"/>
            <family val="3"/>
            <charset val="128"/>
          </rPr>
          <t>記入第１表⑯該当欄</t>
        </r>
      </text>
    </comment>
    <comment ref="Q37" authorId="0">
      <text>
        <r>
          <rPr>
            <sz val="22"/>
            <color indexed="81"/>
            <rFont val="ＭＳ Ｐゴシック"/>
            <family val="3"/>
            <charset val="128"/>
          </rPr>
          <t>記入第１表⑯該当欄</t>
        </r>
      </text>
    </comment>
    <comment ref="R37" authorId="0">
      <text>
        <r>
          <rPr>
            <sz val="22"/>
            <color indexed="81"/>
            <rFont val="ＭＳ Ｐゴシック"/>
            <family val="3"/>
            <charset val="128"/>
          </rPr>
          <t>記入第１表⑯合計欄</t>
        </r>
      </text>
    </comment>
    <comment ref="D38" authorId="0">
      <text>
        <r>
          <rPr>
            <sz val="22"/>
            <color indexed="81"/>
            <rFont val="ＭＳ Ｐゴシック"/>
            <family val="3"/>
            <charset val="128"/>
          </rPr>
          <t>記入第1表⑰該当欄</t>
        </r>
      </text>
    </comment>
    <comment ref="E38" authorId="0">
      <text>
        <r>
          <rPr>
            <sz val="22"/>
            <color indexed="81"/>
            <rFont val="ＭＳ Ｐゴシック"/>
            <family val="3"/>
            <charset val="128"/>
          </rPr>
          <t>記入第1表⑰該当欄</t>
        </r>
      </text>
    </comment>
    <comment ref="F38" authorId="0">
      <text>
        <r>
          <rPr>
            <sz val="22"/>
            <color indexed="81"/>
            <rFont val="ＭＳ Ｐゴシック"/>
            <family val="3"/>
            <charset val="128"/>
          </rPr>
          <t>記入第1表⑰該当欄</t>
        </r>
      </text>
    </comment>
    <comment ref="G38" authorId="0">
      <text>
        <r>
          <rPr>
            <sz val="22"/>
            <color indexed="81"/>
            <rFont val="ＭＳ Ｐゴシック"/>
            <family val="3"/>
            <charset val="128"/>
          </rPr>
          <t>記入第1表⑰該当欄</t>
        </r>
      </text>
    </comment>
    <comment ref="H38" authorId="0">
      <text>
        <r>
          <rPr>
            <sz val="22"/>
            <color indexed="81"/>
            <rFont val="ＭＳ Ｐゴシック"/>
            <family val="3"/>
            <charset val="128"/>
          </rPr>
          <t>記入第1表⑰該当欄</t>
        </r>
      </text>
    </comment>
    <comment ref="I38" authorId="0">
      <text>
        <r>
          <rPr>
            <sz val="22"/>
            <color indexed="81"/>
            <rFont val="ＭＳ Ｐゴシック"/>
            <family val="3"/>
            <charset val="128"/>
          </rPr>
          <t>記入第1表⑰該当欄</t>
        </r>
      </text>
    </comment>
    <comment ref="J38" authorId="0">
      <text>
        <r>
          <rPr>
            <sz val="22"/>
            <color indexed="81"/>
            <rFont val="ＭＳ Ｐゴシック"/>
            <family val="3"/>
            <charset val="128"/>
          </rPr>
          <t>記入第1表⑰該当欄</t>
        </r>
      </text>
    </comment>
    <comment ref="K38" authorId="0">
      <text>
        <r>
          <rPr>
            <sz val="22"/>
            <color indexed="81"/>
            <rFont val="ＭＳ Ｐゴシック"/>
            <family val="3"/>
            <charset val="128"/>
          </rPr>
          <t>記入第1表⑰該当欄</t>
        </r>
      </text>
    </comment>
    <comment ref="L38" authorId="0">
      <text>
        <r>
          <rPr>
            <sz val="22"/>
            <color indexed="81"/>
            <rFont val="ＭＳ Ｐゴシック"/>
            <family val="3"/>
            <charset val="128"/>
          </rPr>
          <t>記入第1表⑰該当欄</t>
        </r>
      </text>
    </comment>
    <comment ref="M38" authorId="0">
      <text>
        <r>
          <rPr>
            <sz val="22"/>
            <color indexed="81"/>
            <rFont val="ＭＳ Ｐゴシック"/>
            <family val="3"/>
            <charset val="128"/>
          </rPr>
          <t>記入第1表⑰該当欄</t>
        </r>
      </text>
    </comment>
    <comment ref="N38" authorId="0">
      <text>
        <r>
          <rPr>
            <sz val="22"/>
            <color indexed="81"/>
            <rFont val="ＭＳ Ｐゴシック"/>
            <family val="3"/>
            <charset val="128"/>
          </rPr>
          <t>記入第1表⑰該当欄</t>
        </r>
      </text>
    </comment>
    <comment ref="Q38" authorId="0">
      <text>
        <r>
          <rPr>
            <sz val="22"/>
            <color indexed="81"/>
            <rFont val="ＭＳ Ｐゴシック"/>
            <family val="3"/>
            <charset val="128"/>
          </rPr>
          <t>記入第1表⑰該当欄</t>
        </r>
      </text>
    </comment>
    <comment ref="R38" authorId="0">
      <text>
        <r>
          <rPr>
            <sz val="22"/>
            <color indexed="81"/>
            <rFont val="ＭＳ Ｐゴシック"/>
            <family val="3"/>
            <charset val="128"/>
          </rPr>
          <t>記入第1表⑰合計欄</t>
        </r>
      </text>
    </comment>
    <comment ref="D39" authorId="0">
      <text>
        <r>
          <rPr>
            <sz val="22"/>
            <color indexed="81"/>
            <rFont val="ＭＳ Ｐゴシック"/>
            <family val="3"/>
            <charset val="128"/>
          </rPr>
          <t>記入第１表⑱該当欄</t>
        </r>
      </text>
    </comment>
    <comment ref="E39" authorId="0">
      <text>
        <r>
          <rPr>
            <sz val="22"/>
            <color indexed="81"/>
            <rFont val="ＭＳ Ｐゴシック"/>
            <family val="3"/>
            <charset val="128"/>
          </rPr>
          <t>記入第１表⑱該当欄</t>
        </r>
      </text>
    </comment>
    <comment ref="F39" authorId="0">
      <text>
        <r>
          <rPr>
            <sz val="22"/>
            <color indexed="81"/>
            <rFont val="ＭＳ Ｐゴシック"/>
            <family val="3"/>
            <charset val="128"/>
          </rPr>
          <t>記入第１表⑱該当欄</t>
        </r>
      </text>
    </comment>
    <comment ref="G39" authorId="0">
      <text>
        <r>
          <rPr>
            <sz val="22"/>
            <color indexed="81"/>
            <rFont val="ＭＳ Ｐゴシック"/>
            <family val="3"/>
            <charset val="128"/>
          </rPr>
          <t>記入第１表⑱該当欄</t>
        </r>
      </text>
    </comment>
    <comment ref="H39" authorId="0">
      <text>
        <r>
          <rPr>
            <sz val="22"/>
            <color indexed="81"/>
            <rFont val="ＭＳ Ｐゴシック"/>
            <family val="3"/>
            <charset val="128"/>
          </rPr>
          <t>記入第１表⑱該当欄</t>
        </r>
      </text>
    </comment>
    <comment ref="I39" authorId="0">
      <text>
        <r>
          <rPr>
            <sz val="22"/>
            <color indexed="81"/>
            <rFont val="ＭＳ Ｐゴシック"/>
            <family val="3"/>
            <charset val="128"/>
          </rPr>
          <t>記入第１表⑱該当欄</t>
        </r>
      </text>
    </comment>
    <comment ref="J39" authorId="0">
      <text>
        <r>
          <rPr>
            <sz val="22"/>
            <color indexed="81"/>
            <rFont val="ＭＳ Ｐゴシック"/>
            <family val="3"/>
            <charset val="128"/>
          </rPr>
          <t>記入第１表⑱該当欄</t>
        </r>
      </text>
    </comment>
    <comment ref="K39" authorId="0">
      <text>
        <r>
          <rPr>
            <sz val="22"/>
            <color indexed="81"/>
            <rFont val="ＭＳ Ｐゴシック"/>
            <family val="3"/>
            <charset val="128"/>
          </rPr>
          <t>記入第１表⑱該当欄</t>
        </r>
      </text>
    </comment>
    <comment ref="L39" authorId="0">
      <text>
        <r>
          <rPr>
            <sz val="22"/>
            <color indexed="81"/>
            <rFont val="ＭＳ Ｐゴシック"/>
            <family val="3"/>
            <charset val="128"/>
          </rPr>
          <t>記入第１表⑱該当欄</t>
        </r>
      </text>
    </comment>
    <comment ref="M39" authorId="0">
      <text>
        <r>
          <rPr>
            <sz val="22"/>
            <color indexed="81"/>
            <rFont val="ＭＳ Ｐゴシック"/>
            <family val="3"/>
            <charset val="128"/>
          </rPr>
          <t>記入第１表⑱該当欄</t>
        </r>
      </text>
    </comment>
    <comment ref="N39" authorId="0">
      <text>
        <r>
          <rPr>
            <sz val="22"/>
            <color indexed="81"/>
            <rFont val="ＭＳ Ｐゴシック"/>
            <family val="3"/>
            <charset val="128"/>
          </rPr>
          <t>記入第１表⑱該当欄</t>
        </r>
      </text>
    </comment>
    <comment ref="Q39" authorId="0">
      <text>
        <r>
          <rPr>
            <sz val="22"/>
            <color indexed="81"/>
            <rFont val="ＭＳ Ｐゴシック"/>
            <family val="3"/>
            <charset val="128"/>
          </rPr>
          <t>記入第１表⑱該当欄</t>
        </r>
      </text>
    </comment>
    <comment ref="R39" authorId="0">
      <text>
        <r>
          <rPr>
            <sz val="22"/>
            <color indexed="81"/>
            <rFont val="ＭＳ Ｐゴシック"/>
            <family val="3"/>
            <charset val="128"/>
          </rPr>
          <t>記入第１表⑱合計欄</t>
        </r>
      </text>
    </comment>
    <comment ref="D40" authorId="0">
      <text>
        <r>
          <rPr>
            <sz val="22"/>
            <color indexed="81"/>
            <rFont val="ＭＳ Ｐゴシック"/>
            <family val="3"/>
            <charset val="128"/>
          </rPr>
          <t>記入第１表⑲該当欄</t>
        </r>
      </text>
    </comment>
    <comment ref="E40" authorId="0">
      <text>
        <r>
          <rPr>
            <sz val="22"/>
            <color indexed="81"/>
            <rFont val="ＭＳ Ｐゴシック"/>
            <family val="3"/>
            <charset val="128"/>
          </rPr>
          <t>記入第１表⑲該当欄</t>
        </r>
      </text>
    </comment>
    <comment ref="F40" authorId="0">
      <text>
        <r>
          <rPr>
            <sz val="22"/>
            <color indexed="81"/>
            <rFont val="ＭＳ Ｐゴシック"/>
            <family val="3"/>
            <charset val="128"/>
          </rPr>
          <t>記入第１表⑲該当欄</t>
        </r>
      </text>
    </comment>
    <comment ref="G40" authorId="0">
      <text>
        <r>
          <rPr>
            <sz val="22"/>
            <color indexed="81"/>
            <rFont val="ＭＳ Ｐゴシック"/>
            <family val="3"/>
            <charset val="128"/>
          </rPr>
          <t>記入第１表⑲該当欄</t>
        </r>
      </text>
    </comment>
    <comment ref="H40" authorId="0">
      <text>
        <r>
          <rPr>
            <sz val="22"/>
            <color indexed="81"/>
            <rFont val="ＭＳ Ｐゴシック"/>
            <family val="3"/>
            <charset val="128"/>
          </rPr>
          <t>記入第１表⑲該当欄</t>
        </r>
      </text>
    </comment>
    <comment ref="I40" authorId="0">
      <text>
        <r>
          <rPr>
            <sz val="22"/>
            <color indexed="81"/>
            <rFont val="ＭＳ Ｐゴシック"/>
            <family val="3"/>
            <charset val="128"/>
          </rPr>
          <t>記入第１表⑲該当欄</t>
        </r>
      </text>
    </comment>
    <comment ref="J40" authorId="0">
      <text>
        <r>
          <rPr>
            <sz val="22"/>
            <color indexed="81"/>
            <rFont val="ＭＳ Ｐゴシック"/>
            <family val="3"/>
            <charset val="128"/>
          </rPr>
          <t>記入第１表⑲該当欄</t>
        </r>
      </text>
    </comment>
    <comment ref="K40" authorId="0">
      <text>
        <r>
          <rPr>
            <sz val="22"/>
            <color indexed="81"/>
            <rFont val="ＭＳ Ｐゴシック"/>
            <family val="3"/>
            <charset val="128"/>
          </rPr>
          <t>記入第１表⑲該当欄</t>
        </r>
      </text>
    </comment>
    <comment ref="L40" authorId="0">
      <text>
        <r>
          <rPr>
            <sz val="22"/>
            <color indexed="81"/>
            <rFont val="ＭＳ Ｐゴシック"/>
            <family val="3"/>
            <charset val="128"/>
          </rPr>
          <t>記入第１表⑲該当欄</t>
        </r>
      </text>
    </comment>
    <comment ref="M40" authorId="0">
      <text>
        <r>
          <rPr>
            <sz val="22"/>
            <color indexed="81"/>
            <rFont val="ＭＳ Ｐゴシック"/>
            <family val="3"/>
            <charset val="128"/>
          </rPr>
          <t>記入第１表⑲該当欄</t>
        </r>
      </text>
    </comment>
    <comment ref="N40" authorId="0">
      <text>
        <r>
          <rPr>
            <sz val="22"/>
            <color indexed="81"/>
            <rFont val="ＭＳ Ｐゴシック"/>
            <family val="3"/>
            <charset val="128"/>
          </rPr>
          <t>記入第１表⑲該当欄</t>
        </r>
      </text>
    </comment>
    <comment ref="Q40" authorId="0">
      <text>
        <r>
          <rPr>
            <sz val="22"/>
            <color indexed="81"/>
            <rFont val="ＭＳ Ｐゴシック"/>
            <family val="3"/>
            <charset val="128"/>
          </rPr>
          <t>記入第１表⑲該当欄</t>
        </r>
      </text>
    </comment>
    <comment ref="R40" authorId="0">
      <text>
        <r>
          <rPr>
            <sz val="22"/>
            <color indexed="81"/>
            <rFont val="ＭＳ Ｐゴシック"/>
            <family val="3"/>
            <charset val="128"/>
          </rPr>
          <t>記入第１表⑲合計欄</t>
        </r>
      </text>
    </comment>
    <comment ref="D41" authorId="0">
      <text>
        <r>
          <rPr>
            <sz val="22"/>
            <color indexed="81"/>
            <rFont val="ＭＳ Ｐゴシック"/>
            <family val="3"/>
            <charset val="128"/>
          </rPr>
          <t>記入第１表20該当欄</t>
        </r>
      </text>
    </comment>
    <comment ref="E41" authorId="0">
      <text>
        <r>
          <rPr>
            <sz val="22"/>
            <color indexed="81"/>
            <rFont val="ＭＳ Ｐゴシック"/>
            <family val="3"/>
            <charset val="128"/>
          </rPr>
          <t>記入第１表20該当欄</t>
        </r>
      </text>
    </comment>
    <comment ref="F41" authorId="0">
      <text>
        <r>
          <rPr>
            <sz val="22"/>
            <color indexed="81"/>
            <rFont val="ＭＳ Ｐゴシック"/>
            <family val="3"/>
            <charset val="128"/>
          </rPr>
          <t>記入第１表20該当欄</t>
        </r>
      </text>
    </comment>
    <comment ref="G41" authorId="0">
      <text>
        <r>
          <rPr>
            <sz val="22"/>
            <color indexed="81"/>
            <rFont val="ＭＳ Ｐゴシック"/>
            <family val="3"/>
            <charset val="128"/>
          </rPr>
          <t>記入第１表20該当欄</t>
        </r>
      </text>
    </comment>
    <comment ref="H41" authorId="0">
      <text>
        <r>
          <rPr>
            <sz val="22"/>
            <color indexed="81"/>
            <rFont val="ＭＳ Ｐゴシック"/>
            <family val="3"/>
            <charset val="128"/>
          </rPr>
          <t>記入第１表20該当欄</t>
        </r>
      </text>
    </comment>
    <comment ref="I41" authorId="0">
      <text>
        <r>
          <rPr>
            <sz val="22"/>
            <color indexed="81"/>
            <rFont val="ＭＳ Ｐゴシック"/>
            <family val="3"/>
            <charset val="128"/>
          </rPr>
          <t>記入第１表20該当欄</t>
        </r>
      </text>
    </comment>
    <comment ref="J41" authorId="0">
      <text>
        <r>
          <rPr>
            <sz val="22"/>
            <color indexed="81"/>
            <rFont val="ＭＳ Ｐゴシック"/>
            <family val="3"/>
            <charset val="128"/>
          </rPr>
          <t>記入第１表20該当欄</t>
        </r>
      </text>
    </comment>
    <comment ref="K41" authorId="0">
      <text>
        <r>
          <rPr>
            <sz val="22"/>
            <color indexed="81"/>
            <rFont val="ＭＳ Ｐゴシック"/>
            <family val="3"/>
            <charset val="128"/>
          </rPr>
          <t>記入第１表20該当欄</t>
        </r>
      </text>
    </comment>
    <comment ref="L41" authorId="0">
      <text>
        <r>
          <rPr>
            <sz val="22"/>
            <color indexed="81"/>
            <rFont val="ＭＳ Ｐゴシック"/>
            <family val="3"/>
            <charset val="128"/>
          </rPr>
          <t>記入第１表20該当欄</t>
        </r>
      </text>
    </comment>
    <comment ref="M41" authorId="0">
      <text>
        <r>
          <rPr>
            <sz val="22"/>
            <color indexed="81"/>
            <rFont val="ＭＳ Ｐゴシック"/>
            <family val="3"/>
            <charset val="128"/>
          </rPr>
          <t>記入第１表20該当欄</t>
        </r>
      </text>
    </comment>
    <comment ref="N41" authorId="0">
      <text>
        <r>
          <rPr>
            <sz val="22"/>
            <color indexed="81"/>
            <rFont val="ＭＳ Ｐゴシック"/>
            <family val="3"/>
            <charset val="128"/>
          </rPr>
          <t>記入第１表20該当欄</t>
        </r>
      </text>
    </comment>
    <comment ref="Q41" authorId="0">
      <text>
        <r>
          <rPr>
            <sz val="22"/>
            <color indexed="81"/>
            <rFont val="ＭＳ Ｐゴシック"/>
            <family val="3"/>
            <charset val="128"/>
          </rPr>
          <t>記入第１表20該当欄</t>
        </r>
      </text>
    </comment>
    <comment ref="R41" authorId="0">
      <text>
        <r>
          <rPr>
            <sz val="22"/>
            <color indexed="81"/>
            <rFont val="ＭＳ Ｐゴシック"/>
            <family val="3"/>
            <charset val="128"/>
          </rPr>
          <t>記入第１表20合計欄</t>
        </r>
      </text>
    </comment>
    <comment ref="E42" authorId="0">
      <text>
        <r>
          <rPr>
            <sz val="22"/>
            <color indexed="81"/>
            <rFont val="ＭＳ Ｐゴシック"/>
            <family val="3"/>
            <charset val="128"/>
          </rPr>
          <t>記入第1表23該当欄、第8の2表2⑩</t>
        </r>
      </text>
    </comment>
    <comment ref="R42" authorId="0">
      <text>
        <r>
          <rPr>
            <sz val="22"/>
            <color indexed="81"/>
            <rFont val="ＭＳ Ｐゴシック"/>
            <family val="3"/>
            <charset val="128"/>
          </rPr>
          <t>記入第1表23合計欄</t>
        </r>
      </text>
    </comment>
    <comment ref="D43" authorId="0">
      <text>
        <r>
          <rPr>
            <sz val="22"/>
            <color indexed="81"/>
            <rFont val="ＭＳ Ｐゴシック"/>
            <family val="3"/>
            <charset val="128"/>
          </rPr>
          <t>記入第1表24該当欄</t>
        </r>
      </text>
    </comment>
    <comment ref="E43" authorId="0">
      <text>
        <r>
          <rPr>
            <sz val="22"/>
            <color indexed="81"/>
            <rFont val="ＭＳ Ｐゴシック"/>
            <family val="3"/>
            <charset val="128"/>
          </rPr>
          <t>記入第1表24該当欄</t>
        </r>
      </text>
    </comment>
    <comment ref="F43" authorId="0">
      <text>
        <r>
          <rPr>
            <sz val="22"/>
            <color indexed="81"/>
            <rFont val="ＭＳ Ｐゴシック"/>
            <family val="3"/>
            <charset val="128"/>
          </rPr>
          <t>記入第1表24該当欄</t>
        </r>
      </text>
    </comment>
    <comment ref="G43" authorId="0">
      <text>
        <r>
          <rPr>
            <sz val="22"/>
            <color indexed="81"/>
            <rFont val="ＭＳ Ｐゴシック"/>
            <family val="3"/>
            <charset val="128"/>
          </rPr>
          <t>記入第1表24該当欄</t>
        </r>
      </text>
    </comment>
    <comment ref="H43" authorId="0">
      <text>
        <r>
          <rPr>
            <sz val="22"/>
            <color indexed="81"/>
            <rFont val="ＭＳ Ｐゴシック"/>
            <family val="3"/>
            <charset val="128"/>
          </rPr>
          <t>記入第1表24該当欄</t>
        </r>
      </text>
    </comment>
    <comment ref="I43" authorId="0">
      <text>
        <r>
          <rPr>
            <sz val="22"/>
            <color indexed="81"/>
            <rFont val="ＭＳ Ｐゴシック"/>
            <family val="3"/>
            <charset val="128"/>
          </rPr>
          <t>記入第1表24該当欄</t>
        </r>
      </text>
    </comment>
    <comment ref="J43" authorId="0">
      <text>
        <r>
          <rPr>
            <sz val="22"/>
            <color indexed="81"/>
            <rFont val="ＭＳ Ｐゴシック"/>
            <family val="3"/>
            <charset val="128"/>
          </rPr>
          <t>記入第1表24該当欄</t>
        </r>
      </text>
    </comment>
    <comment ref="K43" authorId="0">
      <text>
        <r>
          <rPr>
            <sz val="22"/>
            <color indexed="81"/>
            <rFont val="ＭＳ Ｐゴシック"/>
            <family val="3"/>
            <charset val="128"/>
          </rPr>
          <t>記入第1表24該当欄</t>
        </r>
      </text>
    </comment>
    <comment ref="L43" authorId="0">
      <text>
        <r>
          <rPr>
            <sz val="22"/>
            <color indexed="81"/>
            <rFont val="ＭＳ Ｐゴシック"/>
            <family val="3"/>
            <charset val="128"/>
          </rPr>
          <t>記入第1表24該当欄</t>
        </r>
      </text>
    </comment>
    <comment ref="M43" authorId="0">
      <text>
        <r>
          <rPr>
            <sz val="22"/>
            <color indexed="81"/>
            <rFont val="ＭＳ Ｐゴシック"/>
            <family val="3"/>
            <charset val="128"/>
          </rPr>
          <t>記入第1表24該当欄</t>
        </r>
      </text>
    </comment>
    <comment ref="N43" authorId="0">
      <text>
        <r>
          <rPr>
            <sz val="22"/>
            <color indexed="81"/>
            <rFont val="ＭＳ Ｐゴシック"/>
            <family val="3"/>
            <charset val="128"/>
          </rPr>
          <t>記入第1表24該当欄</t>
        </r>
      </text>
    </comment>
    <comment ref="Q43" authorId="0">
      <text>
        <r>
          <rPr>
            <sz val="22"/>
            <color indexed="81"/>
            <rFont val="ＭＳ Ｐゴシック"/>
            <family val="3"/>
            <charset val="128"/>
          </rPr>
          <t>記入第1表24該当欄</t>
        </r>
      </text>
    </comment>
    <comment ref="R43" authorId="0">
      <text>
        <r>
          <rPr>
            <sz val="22"/>
            <color indexed="81"/>
            <rFont val="ＭＳ Ｐゴシック"/>
            <family val="3"/>
            <charset val="128"/>
          </rPr>
          <t>記入第1表24合計欄</t>
        </r>
      </text>
    </comment>
  </commentList>
</comments>
</file>

<file path=xl/sharedStrings.xml><?xml version="1.0" encoding="utf-8"?>
<sst xmlns="http://schemas.openxmlformats.org/spreadsheetml/2006/main" count="1051" uniqueCount="698">
  <si>
    <t>家屋・構築物</t>
    <rPh sb="0" eb="2">
      <t>カオク</t>
    </rPh>
    <rPh sb="3" eb="6">
      <t>コウチクブツ</t>
    </rPh>
    <phoneticPr fontId="2"/>
  </si>
  <si>
    <t>有　価　証　券</t>
    <rPh sb="0" eb="1">
      <t>ユウ</t>
    </rPh>
    <rPh sb="2" eb="3">
      <t>アタイ</t>
    </rPh>
    <rPh sb="4" eb="5">
      <t>アカシ</t>
    </rPh>
    <rPh sb="6" eb="7">
      <t>ケン</t>
    </rPh>
    <phoneticPr fontId="2"/>
  </si>
  <si>
    <t>現金預貯金等</t>
    <rPh sb="0" eb="2">
      <t>ゲンキン</t>
    </rPh>
    <rPh sb="2" eb="5">
      <t>ヨチョキン</t>
    </rPh>
    <rPh sb="5" eb="6">
      <t>トウ</t>
    </rPh>
    <phoneticPr fontId="2"/>
  </si>
  <si>
    <t>家庭用財産</t>
    <rPh sb="0" eb="3">
      <t>カテイヨウ</t>
    </rPh>
    <rPh sb="3" eb="5">
      <t>ザイサン</t>
    </rPh>
    <phoneticPr fontId="2"/>
  </si>
  <si>
    <t>代　償　財　産</t>
    <rPh sb="0" eb="1">
      <t>ダイ</t>
    </rPh>
    <rPh sb="2" eb="3">
      <t>ショウ</t>
    </rPh>
    <rPh sb="4" eb="5">
      <t>ザイ</t>
    </rPh>
    <rPh sb="6" eb="7">
      <t>サン</t>
    </rPh>
    <phoneticPr fontId="2"/>
  </si>
  <si>
    <t>上段　評価額</t>
    <rPh sb="0" eb="2">
      <t>ジョウダン</t>
    </rPh>
    <rPh sb="3" eb="6">
      <t>ヒョウカガク</t>
    </rPh>
    <phoneticPr fontId="2"/>
  </si>
  <si>
    <t>その他財産</t>
    <rPh sb="2" eb="3">
      <t>タ</t>
    </rPh>
    <rPh sb="3" eb="5">
      <t>ザイサン</t>
    </rPh>
    <phoneticPr fontId="2"/>
  </si>
  <si>
    <t>相　　続　　人</t>
    <rPh sb="0" eb="1">
      <t>ソウ</t>
    </rPh>
    <rPh sb="3" eb="4">
      <t>ゾク</t>
    </rPh>
    <rPh sb="6" eb="7">
      <t>ジン</t>
    </rPh>
    <phoneticPr fontId="2"/>
  </si>
  <si>
    <t>遺産に係る基礎控除額</t>
    <rPh sb="0" eb="2">
      <t>イサン</t>
    </rPh>
    <rPh sb="3" eb="4">
      <t>カカワ</t>
    </rPh>
    <rPh sb="5" eb="7">
      <t>キソ</t>
    </rPh>
    <rPh sb="7" eb="9">
      <t>コウジョ</t>
    </rPh>
    <rPh sb="9" eb="10">
      <t>ガク</t>
    </rPh>
    <phoneticPr fontId="2"/>
  </si>
  <si>
    <t>差引課税価額</t>
    <rPh sb="0" eb="2">
      <t>サシヒ</t>
    </rPh>
    <rPh sb="2" eb="4">
      <t>カゼイ</t>
    </rPh>
    <rPh sb="4" eb="6">
      <t>カガク</t>
    </rPh>
    <phoneticPr fontId="2"/>
  </si>
  <si>
    <t>親</t>
    <rPh sb="0" eb="1">
      <t>オヤ</t>
    </rPh>
    <phoneticPr fontId="2"/>
  </si>
  <si>
    <t>配偶者税額軽減額</t>
    <rPh sb="0" eb="2">
      <t>ハイグウ</t>
    </rPh>
    <rPh sb="2" eb="3">
      <t>シャ</t>
    </rPh>
    <rPh sb="3" eb="5">
      <t>ゼイガク</t>
    </rPh>
    <rPh sb="5" eb="7">
      <t>ケイゲン</t>
    </rPh>
    <rPh sb="7" eb="8">
      <t>ガク</t>
    </rPh>
    <phoneticPr fontId="2"/>
  </si>
  <si>
    <t>案分割合</t>
    <rPh sb="0" eb="2">
      <t>アンブン</t>
    </rPh>
    <rPh sb="2" eb="4">
      <t>ワリアイ</t>
    </rPh>
    <phoneticPr fontId="2"/>
  </si>
  <si>
    <t>未成年者控除</t>
    <rPh sb="0" eb="3">
      <t>ミセイネン</t>
    </rPh>
    <rPh sb="3" eb="4">
      <t>シャ</t>
    </rPh>
    <rPh sb="4" eb="6">
      <t>コウジョ</t>
    </rPh>
    <phoneticPr fontId="2"/>
  </si>
  <si>
    <t>障害者控除</t>
    <rPh sb="0" eb="3">
      <t>ショウガイシャ</t>
    </rPh>
    <rPh sb="3" eb="5">
      <t>コウジョ</t>
    </rPh>
    <phoneticPr fontId="2"/>
  </si>
  <si>
    <t>相次相続控除</t>
    <rPh sb="0" eb="2">
      <t>ソウジ</t>
    </rPh>
    <rPh sb="2" eb="4">
      <t>ソウゾク</t>
    </rPh>
    <rPh sb="4" eb="6">
      <t>コウジョ</t>
    </rPh>
    <phoneticPr fontId="2"/>
  </si>
  <si>
    <t>外国税額控除</t>
    <rPh sb="0" eb="2">
      <t>ガイコク</t>
    </rPh>
    <rPh sb="2" eb="4">
      <t>ゼイガク</t>
    </rPh>
    <rPh sb="4" eb="6">
      <t>コウジョ</t>
    </rPh>
    <phoneticPr fontId="2"/>
  </si>
  <si>
    <t>差引税額</t>
    <rPh sb="0" eb="1">
      <t>サ</t>
    </rPh>
    <rPh sb="1" eb="2">
      <t>ヒ</t>
    </rPh>
    <rPh sb="2" eb="4">
      <t>ゼイガク</t>
    </rPh>
    <phoneticPr fontId="2"/>
  </si>
  <si>
    <t>納税猶予税額</t>
    <rPh sb="0" eb="2">
      <t>ノウゼイ</t>
    </rPh>
    <rPh sb="2" eb="4">
      <t>ユウヨ</t>
    </rPh>
    <rPh sb="4" eb="6">
      <t>ゼイガク</t>
    </rPh>
    <phoneticPr fontId="2"/>
  </si>
  <si>
    <t>納付税額</t>
    <rPh sb="0" eb="2">
      <t>ノウフ</t>
    </rPh>
    <rPh sb="2" eb="4">
      <t>ゼイガク</t>
    </rPh>
    <phoneticPr fontId="2"/>
  </si>
  <si>
    <t>債務控除・葬式費用</t>
    <rPh sb="0" eb="2">
      <t>サイム</t>
    </rPh>
    <rPh sb="2" eb="4">
      <t>コウジョ</t>
    </rPh>
    <rPh sb="5" eb="7">
      <t>ソウシキ</t>
    </rPh>
    <rPh sb="7" eb="9">
      <t>ヒヨウ</t>
    </rPh>
    <phoneticPr fontId="2"/>
  </si>
  <si>
    <t>相続税算出税額</t>
    <rPh sb="0" eb="3">
      <t>ソウゾクゼイ</t>
    </rPh>
    <rPh sb="3" eb="5">
      <t>サンシュツ</t>
    </rPh>
    <rPh sb="5" eb="7">
      <t>ゼイガク</t>
    </rPh>
    <phoneticPr fontId="2"/>
  </si>
  <si>
    <t>未　成　年　者</t>
    <rPh sb="0" eb="1">
      <t>ミ</t>
    </rPh>
    <rPh sb="2" eb="3">
      <t>シゲル</t>
    </rPh>
    <rPh sb="4" eb="5">
      <t>トシ</t>
    </rPh>
    <rPh sb="6" eb="7">
      <t>シャ</t>
    </rPh>
    <phoneticPr fontId="2"/>
  </si>
  <si>
    <t>差引課税価格</t>
    <rPh sb="0" eb="1">
      <t>サ</t>
    </rPh>
    <rPh sb="1" eb="2">
      <t>ヒ</t>
    </rPh>
    <rPh sb="2" eb="4">
      <t>カゼイ</t>
    </rPh>
    <rPh sb="4" eb="6">
      <t>カカク</t>
    </rPh>
    <phoneticPr fontId="2"/>
  </si>
  <si>
    <t>差引純資産価格</t>
    <rPh sb="0" eb="1">
      <t>サ</t>
    </rPh>
    <rPh sb="1" eb="2">
      <t>ヒ</t>
    </rPh>
    <rPh sb="2" eb="5">
      <t>ジュンシサン</t>
    </rPh>
    <rPh sb="5" eb="7">
      <t>カカク</t>
    </rPh>
    <phoneticPr fontId="2"/>
  </si>
  <si>
    <t>相次相続控除割合</t>
    <rPh sb="0" eb="2">
      <t>ソウジ</t>
    </rPh>
    <rPh sb="2" eb="4">
      <t>ソウゾク</t>
    </rPh>
    <rPh sb="4" eb="6">
      <t>コウジョ</t>
    </rPh>
    <rPh sb="6" eb="8">
      <t>ワリアイ</t>
    </rPh>
    <phoneticPr fontId="2"/>
  </si>
  <si>
    <t>税額控除計</t>
    <rPh sb="0" eb="2">
      <t>ゼイガク</t>
    </rPh>
    <rPh sb="2" eb="4">
      <t>コウジョ</t>
    </rPh>
    <rPh sb="4" eb="5">
      <t>ケイ</t>
    </rPh>
    <phoneticPr fontId="2"/>
  </si>
  <si>
    <t>合　　　　　計</t>
    <rPh sb="0" eb="1">
      <t>ゴウ</t>
    </rPh>
    <rPh sb="6" eb="7">
      <t>ケイ</t>
    </rPh>
    <phoneticPr fontId="2"/>
  </si>
  <si>
    <t>配　　偶　　者</t>
    <rPh sb="0" eb="1">
      <t>クバ</t>
    </rPh>
    <rPh sb="3" eb="4">
      <t>グウ</t>
    </rPh>
    <rPh sb="6" eb="7">
      <t>シャ</t>
    </rPh>
    <phoneticPr fontId="2"/>
  </si>
  <si>
    <t>子　　　供</t>
    <rPh sb="0" eb="1">
      <t>コ</t>
    </rPh>
    <rPh sb="4" eb="5">
      <t>トモ</t>
    </rPh>
    <phoneticPr fontId="2"/>
  </si>
  <si>
    <t>兄　　　弟</t>
    <rPh sb="0" eb="1">
      <t>アニ</t>
    </rPh>
    <rPh sb="4" eb="5">
      <t>オトウト</t>
    </rPh>
    <phoneticPr fontId="2"/>
  </si>
  <si>
    <t>合　　　計</t>
    <rPh sb="0" eb="1">
      <t>ゴウ</t>
    </rPh>
    <rPh sb="4" eb="5">
      <t>ケイ</t>
    </rPh>
    <phoneticPr fontId="2"/>
  </si>
  <si>
    <t>配偶者(対子供)</t>
    <rPh sb="0" eb="2">
      <t>ハイグウ</t>
    </rPh>
    <rPh sb="2" eb="3">
      <t>シャ</t>
    </rPh>
    <rPh sb="4" eb="5">
      <t>タイ</t>
    </rPh>
    <rPh sb="5" eb="7">
      <t>コドモ</t>
    </rPh>
    <phoneticPr fontId="2"/>
  </si>
  <si>
    <t>配偶者(対兄弟)</t>
    <rPh sb="0" eb="2">
      <t>ハイグウ</t>
    </rPh>
    <rPh sb="2" eb="3">
      <t>シャ</t>
    </rPh>
    <rPh sb="4" eb="5">
      <t>タイ</t>
    </rPh>
    <rPh sb="5" eb="7">
      <t>キョウダイ</t>
    </rPh>
    <phoneticPr fontId="2"/>
  </si>
  <si>
    <t>親のみ１人当り</t>
    <rPh sb="0" eb="1">
      <t>オヤ</t>
    </rPh>
    <rPh sb="4" eb="5">
      <t>ニン</t>
    </rPh>
    <rPh sb="5" eb="6">
      <t>アタ</t>
    </rPh>
    <phoneticPr fontId="2"/>
  </si>
  <si>
    <t>子供１人当り</t>
    <rPh sb="0" eb="2">
      <t>コドモ</t>
    </rPh>
    <rPh sb="3" eb="4">
      <t>ニン</t>
    </rPh>
    <rPh sb="4" eb="5">
      <t>アタ</t>
    </rPh>
    <phoneticPr fontId="2"/>
  </si>
  <si>
    <t>兄弟１人当り</t>
    <rPh sb="0" eb="2">
      <t>キョウダイ</t>
    </rPh>
    <rPh sb="3" eb="4">
      <t>ニン</t>
    </rPh>
    <rPh sb="4" eb="5">
      <t>アタ</t>
    </rPh>
    <phoneticPr fontId="2"/>
  </si>
  <si>
    <t>兄弟のみ１人当り</t>
    <rPh sb="0" eb="2">
      <t>キョウダイ</t>
    </rPh>
    <rPh sb="5" eb="6">
      <t>ニン</t>
    </rPh>
    <rPh sb="6" eb="7">
      <t>アタ</t>
    </rPh>
    <phoneticPr fontId="2"/>
  </si>
  <si>
    <t>配偶者のみ</t>
    <rPh sb="0" eb="3">
      <t>ハイグウシャ</t>
    </rPh>
    <phoneticPr fontId="2"/>
  </si>
  <si>
    <t>親　１人当り</t>
    <rPh sb="0" eb="1">
      <t>オヤ</t>
    </rPh>
    <rPh sb="3" eb="4">
      <t>ニン</t>
    </rPh>
    <rPh sb="4" eb="5">
      <t>アタ</t>
    </rPh>
    <phoneticPr fontId="2"/>
  </si>
  <si>
    <t>子供のみ１人当り</t>
    <rPh sb="0" eb="2">
      <t>コドモ</t>
    </rPh>
    <rPh sb="5" eb="6">
      <t>ニン</t>
    </rPh>
    <rPh sb="6" eb="7">
      <t>アタ</t>
    </rPh>
    <phoneticPr fontId="2"/>
  </si>
  <si>
    <t>未成年者控除額</t>
    <rPh sb="0" eb="3">
      <t>ミセイネン</t>
    </rPh>
    <rPh sb="3" eb="4">
      <t>シャ</t>
    </rPh>
    <rPh sb="4" eb="6">
      <t>コウジョ</t>
    </rPh>
    <rPh sb="6" eb="7">
      <t>ガク</t>
    </rPh>
    <phoneticPr fontId="2"/>
  </si>
  <si>
    <t>未分割財産</t>
    <rPh sb="0" eb="3">
      <t>ミブンカツ</t>
    </rPh>
    <rPh sb="3" eb="5">
      <t>ザイサン</t>
    </rPh>
    <phoneticPr fontId="2"/>
  </si>
  <si>
    <t>配偶者差引財産</t>
    <rPh sb="0" eb="3">
      <t>ハイグウシャ</t>
    </rPh>
    <rPh sb="3" eb="7">
      <t>サシヒキザイサン</t>
    </rPh>
    <phoneticPr fontId="2"/>
  </si>
  <si>
    <t>一般障害者控除</t>
    <rPh sb="0" eb="2">
      <t>イッパン</t>
    </rPh>
    <rPh sb="2" eb="4">
      <t>ショウガイ</t>
    </rPh>
    <rPh sb="4" eb="5">
      <t>シャ</t>
    </rPh>
    <rPh sb="5" eb="7">
      <t>コウジョ</t>
    </rPh>
    <phoneticPr fontId="2"/>
  </si>
  <si>
    <t>特別障害者控除</t>
    <rPh sb="0" eb="2">
      <t>トクベツ</t>
    </rPh>
    <rPh sb="2" eb="4">
      <t>ショウガイ</t>
    </rPh>
    <rPh sb="4" eb="5">
      <t>シャ</t>
    </rPh>
    <rPh sb="5" eb="7">
      <t>コウジョ</t>
    </rPh>
    <phoneticPr fontId="2"/>
  </si>
  <si>
    <t>被相続人の前相続時取得純資産</t>
    <rPh sb="0" eb="1">
      <t>ヒ</t>
    </rPh>
    <rPh sb="1" eb="3">
      <t>ソウゾク</t>
    </rPh>
    <rPh sb="3" eb="4">
      <t>ニン</t>
    </rPh>
    <rPh sb="5" eb="6">
      <t>ゼン</t>
    </rPh>
    <rPh sb="6" eb="8">
      <t>ソウゾク</t>
    </rPh>
    <rPh sb="8" eb="9">
      <t>ジ</t>
    </rPh>
    <rPh sb="9" eb="11">
      <t>シュトク</t>
    </rPh>
    <rPh sb="11" eb="14">
      <t>ジュンシサン</t>
    </rPh>
    <phoneticPr fontId="2"/>
  </si>
  <si>
    <t>左の時の被相続人の相続税額</t>
    <rPh sb="0" eb="1">
      <t>ヒダリ</t>
    </rPh>
    <rPh sb="2" eb="3">
      <t>トキ</t>
    </rPh>
    <rPh sb="4" eb="5">
      <t>ヒ</t>
    </rPh>
    <rPh sb="5" eb="7">
      <t>ソウゾク</t>
    </rPh>
    <rPh sb="7" eb="8">
      <t>ニン</t>
    </rPh>
    <rPh sb="9" eb="11">
      <t>ソウゾク</t>
    </rPh>
    <rPh sb="11" eb="13">
      <t>ゼイガク</t>
    </rPh>
    <phoneticPr fontId="2"/>
  </si>
  <si>
    <t>控除対象税額</t>
    <rPh sb="0" eb="2">
      <t>コウジョ</t>
    </rPh>
    <rPh sb="2" eb="4">
      <t>タイショウ</t>
    </rPh>
    <rPh sb="4" eb="5">
      <t>ゼイ</t>
    </rPh>
    <rPh sb="5" eb="6">
      <t>ガク</t>
    </rPh>
    <phoneticPr fontId="2"/>
  </si>
  <si>
    <t>前回より経過年数</t>
    <rPh sb="0" eb="2">
      <t>ゼンカイ</t>
    </rPh>
    <rPh sb="4" eb="6">
      <t>ケイカ</t>
    </rPh>
    <rPh sb="6" eb="8">
      <t>ネンスウ</t>
    </rPh>
    <phoneticPr fontId="2"/>
  </si>
  <si>
    <t>配偶者(対　親)</t>
    <rPh sb="0" eb="2">
      <t>ハイグウ</t>
    </rPh>
    <rPh sb="2" eb="3">
      <t>シャ</t>
    </rPh>
    <rPh sb="4" eb="5">
      <t>タイ</t>
    </rPh>
    <rPh sb="6" eb="7">
      <t>オヤ</t>
    </rPh>
    <phoneticPr fontId="2"/>
  </si>
  <si>
    <t>財産合計(上下段別)</t>
    <rPh sb="0" eb="2">
      <t>ザイサン</t>
    </rPh>
    <rPh sb="2" eb="4">
      <t>ゴウケイ</t>
    </rPh>
    <rPh sb="5" eb="7">
      <t>ジョウゲ</t>
    </rPh>
    <rPh sb="7" eb="8">
      <t>ダン</t>
    </rPh>
    <rPh sb="8" eb="9">
      <t>ベツ</t>
    </rPh>
    <phoneticPr fontId="2"/>
  </si>
  <si>
    <t>二　割　加　算　者</t>
    <rPh sb="0" eb="1">
      <t>ニ</t>
    </rPh>
    <rPh sb="2" eb="3">
      <t>ワリ</t>
    </rPh>
    <rPh sb="4" eb="5">
      <t>カ</t>
    </rPh>
    <rPh sb="6" eb="7">
      <t>ザン</t>
    </rPh>
    <rPh sb="8" eb="9">
      <t>シャ</t>
    </rPh>
    <phoneticPr fontId="2"/>
  </si>
  <si>
    <t>配偶軽減法定分</t>
    <rPh sb="0" eb="2">
      <t>ハイグウ</t>
    </rPh>
    <rPh sb="2" eb="4">
      <t>ケイゲン</t>
    </rPh>
    <rPh sb="4" eb="6">
      <t>ホウテイ</t>
    </rPh>
    <rPh sb="6" eb="7">
      <t>ブン</t>
    </rPh>
    <phoneticPr fontId="2"/>
  </si>
  <si>
    <t>債務葬式費用と未分割財産差引</t>
    <rPh sb="0" eb="2">
      <t>サイム</t>
    </rPh>
    <rPh sb="2" eb="4">
      <t>ソウシキ</t>
    </rPh>
    <rPh sb="4" eb="6">
      <t>ヒヨウ</t>
    </rPh>
    <rPh sb="7" eb="10">
      <t>ミブンカツ</t>
    </rPh>
    <rPh sb="10" eb="12">
      <t>ザイサン</t>
    </rPh>
    <rPh sb="12" eb="14">
      <t>サシヒキ</t>
    </rPh>
    <phoneticPr fontId="2"/>
  </si>
  <si>
    <t>兄弟のみ１人当り</t>
  </si>
  <si>
    <t>兄弟１人当り</t>
  </si>
  <si>
    <t>算出税額計</t>
    <rPh sb="0" eb="2">
      <t>サンシュツ</t>
    </rPh>
    <rPh sb="2" eb="4">
      <t>ゼイガク</t>
    </rPh>
    <rPh sb="4" eb="5">
      <t>ケイ</t>
    </rPh>
    <phoneticPr fontId="2"/>
  </si>
  <si>
    <t>下段　特例額等</t>
    <rPh sb="0" eb="2">
      <t>ゲダン</t>
    </rPh>
    <rPh sb="3" eb="5">
      <t>トクレイ</t>
    </rPh>
    <rPh sb="5" eb="6">
      <t>ガク</t>
    </rPh>
    <rPh sb="6" eb="7">
      <t>トウ</t>
    </rPh>
    <phoneticPr fontId="2"/>
  </si>
  <si>
    <t>暦年贈与税額控除</t>
    <rPh sb="0" eb="2">
      <t>レキネン</t>
    </rPh>
    <rPh sb="2" eb="4">
      <t>ゾウヨ</t>
    </rPh>
    <rPh sb="4" eb="6">
      <t>ゼイガク</t>
    </rPh>
    <rPh sb="6" eb="8">
      <t>コウジョ</t>
    </rPh>
    <phoneticPr fontId="2"/>
  </si>
  <si>
    <t>精算課税贈与税控除</t>
    <rPh sb="0" eb="2">
      <t>セイサン</t>
    </rPh>
    <rPh sb="2" eb="4">
      <t>カゼイ</t>
    </rPh>
    <rPh sb="4" eb="6">
      <t>ゾウヨ</t>
    </rPh>
    <rPh sb="6" eb="7">
      <t>ゼイ</t>
    </rPh>
    <rPh sb="7" eb="9">
      <t>コウジョ</t>
    </rPh>
    <phoneticPr fontId="2"/>
  </si>
  <si>
    <t>精算課税贈与財産</t>
    <rPh sb="0" eb="2">
      <t>セイサン</t>
    </rPh>
    <rPh sb="2" eb="4">
      <t>カゼイ</t>
    </rPh>
    <rPh sb="4" eb="6">
      <t>ゾウヨ</t>
    </rPh>
    <rPh sb="6" eb="8">
      <t>ザイサン</t>
    </rPh>
    <phoneticPr fontId="2"/>
  </si>
  <si>
    <t>暦年課税贈与財産</t>
    <rPh sb="0" eb="2">
      <t>レキネン</t>
    </rPh>
    <rPh sb="2" eb="4">
      <t>カゼイ</t>
    </rPh>
    <rPh sb="4" eb="6">
      <t>ゾウヨ</t>
    </rPh>
    <rPh sb="6" eb="8">
      <t>ザイサン</t>
    </rPh>
    <phoneticPr fontId="2"/>
  </si>
  <si>
    <t>生命保険金・退職金</t>
    <rPh sb="0" eb="5">
      <t>セイメイホケンキン</t>
    </rPh>
    <rPh sb="6" eb="9">
      <t>タイショクキン</t>
    </rPh>
    <phoneticPr fontId="2"/>
  </si>
  <si>
    <t>未成年者年齢</t>
    <rPh sb="0" eb="4">
      <t>ミセイネンシャ</t>
    </rPh>
    <rPh sb="4" eb="6">
      <t>ネンレイ</t>
    </rPh>
    <phoneticPr fontId="2"/>
  </si>
  <si>
    <t>相次相続控除総額</t>
    <rPh sb="0" eb="2">
      <t>ソウジ</t>
    </rPh>
    <rPh sb="2" eb="4">
      <t>ソウゾク</t>
    </rPh>
    <rPh sb="4" eb="6">
      <t>コウジョ</t>
    </rPh>
    <rPh sb="6" eb="8">
      <t>ソウガク</t>
    </rPh>
    <phoneticPr fontId="2"/>
  </si>
  <si>
    <t>障　害　者</t>
    <rPh sb="0" eb="1">
      <t>サワ</t>
    </rPh>
    <rPh sb="2" eb="3">
      <t>ガイ</t>
    </rPh>
    <rPh sb="4" eb="5">
      <t>シャ</t>
    </rPh>
    <phoneticPr fontId="2"/>
  </si>
  <si>
    <t>相 続 人 名　</t>
    <rPh sb="0" eb="1">
      <t>ソウ</t>
    </rPh>
    <rPh sb="2" eb="3">
      <t>ゾク</t>
    </rPh>
    <rPh sb="4" eb="5">
      <t>ヒト</t>
    </rPh>
    <rPh sb="6" eb="7">
      <t>ナ</t>
    </rPh>
    <phoneticPr fontId="2"/>
  </si>
  <si>
    <t>続　　　　　　柄　　　・　　　顛　　　　　　末　</t>
    <rPh sb="0" eb="1">
      <t>ゾク</t>
    </rPh>
    <rPh sb="7" eb="8">
      <t>ガラ</t>
    </rPh>
    <rPh sb="15" eb="16">
      <t>テン</t>
    </rPh>
    <rPh sb="22" eb="23">
      <t>スエ</t>
    </rPh>
    <phoneticPr fontId="2"/>
  </si>
  <si>
    <t>本来相続分</t>
    <rPh sb="0" eb="2">
      <t>ホンライ</t>
    </rPh>
    <rPh sb="2" eb="5">
      <t>ソウゾクブン</t>
    </rPh>
    <phoneticPr fontId="2"/>
  </si>
  <si>
    <t>代襲相続分等</t>
    <rPh sb="0" eb="1">
      <t>ダイ</t>
    </rPh>
    <rPh sb="1" eb="2">
      <t>オソ</t>
    </rPh>
    <rPh sb="2" eb="5">
      <t>ソウゾクブン</t>
    </rPh>
    <rPh sb="5" eb="6">
      <t>トウ</t>
    </rPh>
    <phoneticPr fontId="2"/>
  </si>
  <si>
    <t>相続分合計</t>
    <rPh sb="0" eb="3">
      <t>ソウゾクブン</t>
    </rPh>
    <rPh sb="3" eb="5">
      <t>ゴウケイ</t>
    </rPh>
    <phoneticPr fontId="2"/>
  </si>
  <si>
    <t>合　　　　計</t>
    <rPh sb="0" eb="1">
      <t>ゴウ</t>
    </rPh>
    <rPh sb="5" eb="6">
      <t>ケイ</t>
    </rPh>
    <phoneticPr fontId="2"/>
  </si>
  <si>
    <t>一般相続分対応額</t>
    <rPh sb="0" eb="2">
      <t>イッパン</t>
    </rPh>
    <rPh sb="2" eb="4">
      <t>ソウゾク</t>
    </rPh>
    <rPh sb="4" eb="5">
      <t>ブン</t>
    </rPh>
    <rPh sb="5" eb="7">
      <t>タイオウ</t>
    </rPh>
    <rPh sb="7" eb="8">
      <t>ガク</t>
    </rPh>
    <phoneticPr fontId="2"/>
  </si>
  <si>
    <t>一般総額基の税額</t>
    <rPh sb="0" eb="2">
      <t>イッパン</t>
    </rPh>
    <rPh sb="2" eb="4">
      <t>ソウガク</t>
    </rPh>
    <rPh sb="4" eb="5">
      <t>モト</t>
    </rPh>
    <rPh sb="6" eb="8">
      <t>ゼイガク</t>
    </rPh>
    <phoneticPr fontId="2"/>
  </si>
  <si>
    <t>一般相続税の総額</t>
    <rPh sb="0" eb="2">
      <t>イッパン</t>
    </rPh>
    <rPh sb="2" eb="5">
      <t>ソウゾクゼイ</t>
    </rPh>
    <rPh sb="6" eb="8">
      <t>ソウガク</t>
    </rPh>
    <phoneticPr fontId="2"/>
  </si>
  <si>
    <t>一般相続税総額小計①</t>
    <rPh sb="0" eb="2">
      <t>イッパン</t>
    </rPh>
    <rPh sb="2" eb="5">
      <t>ソウゾクゼイ</t>
    </rPh>
    <rPh sb="5" eb="7">
      <t>ソウガク</t>
    </rPh>
    <rPh sb="7" eb="9">
      <t>ショウケイ</t>
    </rPh>
    <phoneticPr fontId="2"/>
  </si>
  <si>
    <t>一般相続税総額小計②</t>
    <rPh sb="2" eb="5">
      <t>ソウゾクゼイ</t>
    </rPh>
    <rPh sb="5" eb="7">
      <t>ソウガク</t>
    </rPh>
    <rPh sb="7" eb="9">
      <t>ショウケイ</t>
    </rPh>
    <phoneticPr fontId="2"/>
  </si>
  <si>
    <t>一般二重身分等相続分</t>
    <rPh sb="0" eb="2">
      <t>イッパン</t>
    </rPh>
    <rPh sb="2" eb="4">
      <t>ニジュウ</t>
    </rPh>
    <rPh sb="4" eb="7">
      <t>ミブントウ</t>
    </rPh>
    <rPh sb="7" eb="9">
      <t>ソウゾク</t>
    </rPh>
    <rPh sb="9" eb="10">
      <t>ブン</t>
    </rPh>
    <phoneticPr fontId="2"/>
  </si>
  <si>
    <t>親のみ1人当り</t>
    <rPh sb="0" eb="1">
      <t>オヤ</t>
    </rPh>
    <rPh sb="4" eb="5">
      <t>ニン</t>
    </rPh>
    <rPh sb="5" eb="6">
      <t>アタ</t>
    </rPh>
    <phoneticPr fontId="2"/>
  </si>
  <si>
    <t>二割加算額</t>
    <rPh sb="0" eb="1">
      <t>ニ</t>
    </rPh>
    <rPh sb="1" eb="2">
      <t>ワリ</t>
    </rPh>
    <rPh sb="2" eb="5">
      <t>カサンガク</t>
    </rPh>
    <phoneticPr fontId="2"/>
  </si>
  <si>
    <t>配偶者・親の数</t>
    <rPh sb="0" eb="3">
      <t>ハイグウシャ</t>
    </rPh>
    <rPh sb="4" eb="5">
      <t>オヤ</t>
    </rPh>
    <rPh sb="6" eb="7">
      <t>カズ</t>
    </rPh>
    <phoneticPr fontId="2"/>
  </si>
  <si>
    <t>配偶者以外0の数</t>
    <rPh sb="0" eb="3">
      <t>ハイグウシャ</t>
    </rPh>
    <rPh sb="3" eb="5">
      <t>イガイ</t>
    </rPh>
    <rPh sb="7" eb="8">
      <t>カズ</t>
    </rPh>
    <phoneticPr fontId="2"/>
  </si>
  <si>
    <t>超過差額相当税額</t>
    <rPh sb="0" eb="2">
      <t>チョウカ</t>
    </rPh>
    <rPh sb="2" eb="4">
      <t>サガク</t>
    </rPh>
    <rPh sb="4" eb="6">
      <t>ソウトウ</t>
    </rPh>
    <rPh sb="6" eb="8">
      <t>ゼイガク</t>
    </rPh>
    <phoneticPr fontId="2"/>
  </si>
  <si>
    <t>暦年贈与財産</t>
    <rPh sb="0" eb="2">
      <t>レキネン</t>
    </rPh>
    <rPh sb="2" eb="4">
      <t>ゾウヨ</t>
    </rPh>
    <rPh sb="4" eb="6">
      <t>ザイサン</t>
    </rPh>
    <phoneticPr fontId="2"/>
  </si>
  <si>
    <t>軽減可能額①</t>
    <rPh sb="0" eb="2">
      <t>ケイゲン</t>
    </rPh>
    <rPh sb="2" eb="3">
      <t>カ</t>
    </rPh>
    <rPh sb="3" eb="4">
      <t>ノウ</t>
    </rPh>
    <rPh sb="4" eb="5">
      <t>ガク</t>
    </rPh>
    <phoneticPr fontId="2"/>
  </si>
  <si>
    <t>軽減可能額②</t>
    <rPh sb="0" eb="2">
      <t>ケイゲン</t>
    </rPh>
    <rPh sb="2" eb="3">
      <t>カ</t>
    </rPh>
    <rPh sb="3" eb="4">
      <t>ノウ</t>
    </rPh>
    <rPh sb="4" eb="5">
      <t>ガク</t>
    </rPh>
    <phoneticPr fontId="2"/>
  </si>
  <si>
    <t>軽減可能額</t>
    <rPh sb="0" eb="2">
      <t>ケイゲン</t>
    </rPh>
    <rPh sb="2" eb="3">
      <t>カ</t>
    </rPh>
    <rPh sb="3" eb="4">
      <t>ノウ</t>
    </rPh>
    <rPh sb="4" eb="5">
      <t>ガク</t>
    </rPh>
    <phoneticPr fontId="2"/>
  </si>
  <si>
    <t>課税価格</t>
    <rPh sb="0" eb="2">
      <t>カゼイ</t>
    </rPh>
    <rPh sb="2" eb="4">
      <t>カカク</t>
    </rPh>
    <phoneticPr fontId="2"/>
  </si>
  <si>
    <t>特例非上場株式</t>
    <rPh sb="0" eb="2">
      <t>トクレイ</t>
    </rPh>
    <rPh sb="2" eb="3">
      <t>ヒ</t>
    </rPh>
    <rPh sb="3" eb="5">
      <t>ジョウジョウ</t>
    </rPh>
    <rPh sb="5" eb="7">
      <t>カブシキ</t>
    </rPh>
    <phoneticPr fontId="2"/>
  </si>
  <si>
    <t>扶養・特例非上場株</t>
    <rPh sb="0" eb="1">
      <t>タモツ</t>
    </rPh>
    <rPh sb="1" eb="2">
      <t>オサム</t>
    </rPh>
    <rPh sb="3" eb="5">
      <t>トクレイ</t>
    </rPh>
    <rPh sb="5" eb="8">
      <t>ヒジョウジョウ</t>
    </rPh>
    <rPh sb="8" eb="9">
      <t>カブ</t>
    </rPh>
    <phoneticPr fontId="2"/>
  </si>
  <si>
    <t>特例株式以外財産</t>
    <rPh sb="0" eb="2">
      <t>トクレイ</t>
    </rPh>
    <rPh sb="2" eb="4">
      <t>カブシキ</t>
    </rPh>
    <rPh sb="4" eb="6">
      <t>イガイ</t>
    </rPh>
    <rPh sb="6" eb="8">
      <t>ザイサン</t>
    </rPh>
    <phoneticPr fontId="2"/>
  </si>
  <si>
    <t>特例非上場株式合計</t>
    <rPh sb="0" eb="2">
      <t>トクレイ</t>
    </rPh>
    <rPh sb="2" eb="5">
      <t>ヒジョウジョウ</t>
    </rPh>
    <rPh sb="5" eb="7">
      <t>カブシキ</t>
    </rPh>
    <rPh sb="7" eb="9">
      <t>ゴウケイ</t>
    </rPh>
    <phoneticPr fontId="2"/>
  </si>
  <si>
    <t>左のマイナスチェック</t>
    <rPh sb="0" eb="1">
      <t>ヒダリ</t>
    </rPh>
    <phoneticPr fontId="2"/>
  </si>
  <si>
    <t>承継猶予計算価格</t>
    <rPh sb="0" eb="2">
      <t>ショウケイ</t>
    </rPh>
    <rPh sb="2" eb="4">
      <t>ユウヨ</t>
    </rPh>
    <rPh sb="4" eb="6">
      <t>ケイサン</t>
    </rPh>
    <rPh sb="6" eb="8">
      <t>カカク</t>
    </rPh>
    <phoneticPr fontId="2"/>
  </si>
  <si>
    <t>承継猶予計算総額小計①</t>
    <rPh sb="0" eb="2">
      <t>ショウケイ</t>
    </rPh>
    <rPh sb="2" eb="4">
      <t>ユウヨ</t>
    </rPh>
    <rPh sb="4" eb="6">
      <t>ケイサン</t>
    </rPh>
    <rPh sb="6" eb="8">
      <t>ソウガク</t>
    </rPh>
    <rPh sb="8" eb="10">
      <t>ショウケイ</t>
    </rPh>
    <phoneticPr fontId="2"/>
  </si>
  <si>
    <t>承継猶予計算総額小計②</t>
    <rPh sb="0" eb="2">
      <t>ショウケイ</t>
    </rPh>
    <rPh sb="2" eb="4">
      <t>ユウヨ</t>
    </rPh>
    <rPh sb="4" eb="6">
      <t>ケイサン</t>
    </rPh>
    <rPh sb="6" eb="8">
      <t>ソウガク</t>
    </rPh>
    <rPh sb="8" eb="10">
      <t>ショウケイ</t>
    </rPh>
    <phoneticPr fontId="2"/>
  </si>
  <si>
    <t>承継二重身分等相続分</t>
    <rPh sb="0" eb="2">
      <t>ショウケイ</t>
    </rPh>
    <rPh sb="2" eb="4">
      <t>ニジュウ</t>
    </rPh>
    <rPh sb="4" eb="7">
      <t>ミブントウ</t>
    </rPh>
    <rPh sb="7" eb="9">
      <t>ソウゾク</t>
    </rPh>
    <rPh sb="9" eb="10">
      <t>ブン</t>
    </rPh>
    <phoneticPr fontId="2"/>
  </si>
  <si>
    <t>承継猶予分課税価額</t>
    <rPh sb="0" eb="2">
      <t>ショウケイ</t>
    </rPh>
    <rPh sb="2" eb="4">
      <t>ユウヨ</t>
    </rPh>
    <rPh sb="4" eb="5">
      <t>ブン</t>
    </rPh>
    <rPh sb="5" eb="7">
      <t>カゼイ</t>
    </rPh>
    <rPh sb="7" eb="9">
      <t>カガク</t>
    </rPh>
    <phoneticPr fontId="2"/>
  </si>
  <si>
    <t>承継猶予分相続税総額</t>
    <rPh sb="0" eb="2">
      <t>ショウケイ</t>
    </rPh>
    <rPh sb="2" eb="4">
      <t>ユウヨ</t>
    </rPh>
    <rPh sb="4" eb="5">
      <t>ブン</t>
    </rPh>
    <rPh sb="5" eb="8">
      <t>ソウゾクゼイ</t>
    </rPh>
    <rPh sb="8" eb="10">
      <t>ソウガク</t>
    </rPh>
    <phoneticPr fontId="2"/>
  </si>
  <si>
    <t>承継者猶予分相続税額</t>
    <rPh sb="0" eb="2">
      <t>ショウケイ</t>
    </rPh>
    <rPh sb="2" eb="3">
      <t>シャ</t>
    </rPh>
    <rPh sb="3" eb="5">
      <t>ユウヨ</t>
    </rPh>
    <rPh sb="5" eb="6">
      <t>ブン</t>
    </rPh>
    <rPh sb="6" eb="9">
      <t>ソウゾクゼイ</t>
    </rPh>
    <rPh sb="9" eb="10">
      <t>ガク</t>
    </rPh>
    <phoneticPr fontId="2"/>
  </si>
  <si>
    <t>承継加算計算総額小計①</t>
    <rPh sb="0" eb="2">
      <t>ショウケイ</t>
    </rPh>
    <rPh sb="2" eb="4">
      <t>カサン</t>
    </rPh>
    <rPh sb="4" eb="6">
      <t>ケイサン</t>
    </rPh>
    <rPh sb="6" eb="8">
      <t>ソウガク</t>
    </rPh>
    <rPh sb="8" eb="10">
      <t>ショウケイ</t>
    </rPh>
    <phoneticPr fontId="2"/>
  </si>
  <si>
    <t>承継加算計算総額小計②</t>
    <rPh sb="0" eb="2">
      <t>ショウケイ</t>
    </rPh>
    <rPh sb="2" eb="4">
      <t>カサン</t>
    </rPh>
    <rPh sb="4" eb="6">
      <t>ケイサン</t>
    </rPh>
    <rPh sb="6" eb="8">
      <t>ソウガク</t>
    </rPh>
    <rPh sb="8" eb="10">
      <t>ショウケイ</t>
    </rPh>
    <phoneticPr fontId="2"/>
  </si>
  <si>
    <t>承継加算二重身分等分</t>
    <rPh sb="0" eb="2">
      <t>ショウケイ</t>
    </rPh>
    <rPh sb="2" eb="4">
      <t>カサン</t>
    </rPh>
    <rPh sb="4" eb="6">
      <t>ニジュウ</t>
    </rPh>
    <rPh sb="6" eb="9">
      <t>ミブントウ</t>
    </rPh>
    <rPh sb="9" eb="10">
      <t>ブン</t>
    </rPh>
    <phoneticPr fontId="2"/>
  </si>
  <si>
    <t>承継加算分相続税総額</t>
    <rPh sb="0" eb="2">
      <t>ショウケイ</t>
    </rPh>
    <rPh sb="2" eb="4">
      <t>カサン</t>
    </rPh>
    <rPh sb="4" eb="5">
      <t>ブン</t>
    </rPh>
    <rPh sb="5" eb="8">
      <t>ソウゾクゼイ</t>
    </rPh>
    <rPh sb="8" eb="10">
      <t>ソウガク</t>
    </rPh>
    <phoneticPr fontId="2"/>
  </si>
  <si>
    <t>特例対象宅地等</t>
    <rPh sb="0" eb="2">
      <t>トクレイ</t>
    </rPh>
    <rPh sb="2" eb="4">
      <t>タイショウ</t>
    </rPh>
    <rPh sb="4" eb="6">
      <t>タクチ</t>
    </rPh>
    <rPh sb="6" eb="7">
      <t>ナド</t>
    </rPh>
    <phoneticPr fontId="2"/>
  </si>
  <si>
    <t>一般土地等</t>
    <rPh sb="0" eb="2">
      <t>イッパン</t>
    </rPh>
    <rPh sb="2" eb="5">
      <t>トチトウ</t>
    </rPh>
    <phoneticPr fontId="2"/>
  </si>
  <si>
    <t>二重身分等特殊相続分の総額計算 　承継猶予分</t>
    <rPh sb="0" eb="2">
      <t>ニジュウ</t>
    </rPh>
    <rPh sb="2" eb="4">
      <t>ミブン</t>
    </rPh>
    <rPh sb="4" eb="5">
      <t>トウ</t>
    </rPh>
    <rPh sb="5" eb="7">
      <t>トクシュ</t>
    </rPh>
    <rPh sb="7" eb="10">
      <t>ソウゾクブン</t>
    </rPh>
    <rPh sb="11" eb="13">
      <t>ソウガク</t>
    </rPh>
    <rPh sb="13" eb="15">
      <t>ケイサン</t>
    </rPh>
    <rPh sb="17" eb="19">
      <t>ショウケイ</t>
    </rPh>
    <rPh sb="19" eb="21">
      <t>ユウヨ</t>
    </rPh>
    <rPh sb="21" eb="22">
      <t>ブン</t>
    </rPh>
    <phoneticPr fontId="2"/>
  </si>
  <si>
    <t>二重身分等特殊相続分の総額計算 　二割課税分</t>
    <rPh sb="0" eb="2">
      <t>ニジュウ</t>
    </rPh>
    <rPh sb="2" eb="4">
      <t>ミブン</t>
    </rPh>
    <rPh sb="4" eb="5">
      <t>トウ</t>
    </rPh>
    <rPh sb="5" eb="7">
      <t>トクシュ</t>
    </rPh>
    <rPh sb="7" eb="10">
      <t>ソウゾクブン</t>
    </rPh>
    <rPh sb="11" eb="13">
      <t>ソウガク</t>
    </rPh>
    <rPh sb="13" eb="15">
      <t>ケイサン</t>
    </rPh>
    <rPh sb="17" eb="19">
      <t>ニワリ</t>
    </rPh>
    <rPh sb="19" eb="21">
      <t>カゼイ</t>
    </rPh>
    <rPh sb="21" eb="22">
      <t>ブン</t>
    </rPh>
    <phoneticPr fontId="2"/>
  </si>
  <si>
    <t>相次相続対象財産</t>
    <rPh sb="0" eb="1">
      <t>ソウ</t>
    </rPh>
    <rPh sb="1" eb="2">
      <t>ジ</t>
    </rPh>
    <rPh sb="2" eb="4">
      <t>ソウゾク</t>
    </rPh>
    <rPh sb="4" eb="6">
      <t>タイショウ</t>
    </rPh>
    <rPh sb="6" eb="8">
      <t>ザイサン</t>
    </rPh>
    <phoneticPr fontId="2"/>
  </si>
  <si>
    <t>配偶者の人数</t>
    <rPh sb="0" eb="3">
      <t>ハイグウシャ</t>
    </rPh>
    <rPh sb="4" eb="6">
      <t>ニンズウ</t>
    </rPh>
    <phoneticPr fontId="2"/>
  </si>
  <si>
    <t>子供の人数</t>
    <rPh sb="0" eb="2">
      <t>コドモ</t>
    </rPh>
    <rPh sb="3" eb="5">
      <t>ニンズウ</t>
    </rPh>
    <phoneticPr fontId="2"/>
  </si>
  <si>
    <t>親の人数</t>
    <rPh sb="0" eb="1">
      <t>オヤ</t>
    </rPh>
    <rPh sb="2" eb="4">
      <t>ニンズウ</t>
    </rPh>
    <phoneticPr fontId="2"/>
  </si>
  <si>
    <t>兄弟の人数</t>
    <rPh sb="0" eb="2">
      <t>キョウダイ</t>
    </rPh>
    <rPh sb="3" eb="5">
      <t>ニンズウ</t>
    </rPh>
    <phoneticPr fontId="2"/>
  </si>
  <si>
    <t>合　　計</t>
    <rPh sb="0" eb="1">
      <t>ゴウ</t>
    </rPh>
    <rPh sb="3" eb="4">
      <t>ケイ</t>
    </rPh>
    <phoneticPr fontId="2"/>
  </si>
  <si>
    <t>相続人数等の計算入力</t>
    <rPh sb="0" eb="1">
      <t>ソウ</t>
    </rPh>
    <rPh sb="1" eb="2">
      <t>ゾク</t>
    </rPh>
    <rPh sb="2" eb="3">
      <t>ジン</t>
    </rPh>
    <rPh sb="3" eb="4">
      <t>スウ</t>
    </rPh>
    <rPh sb="4" eb="5">
      <t>トウ</t>
    </rPh>
    <rPh sb="6" eb="7">
      <t>ケイ</t>
    </rPh>
    <rPh sb="7" eb="8">
      <t>ザン</t>
    </rPh>
    <rPh sb="8" eb="10">
      <t>ニュウリョク</t>
    </rPh>
    <phoneticPr fontId="2"/>
  </si>
  <si>
    <t>未成年者の年齢</t>
    <rPh sb="0" eb="4">
      <t>ミセイネンシャ</t>
    </rPh>
    <rPh sb="5" eb="7">
      <t>ネンレイ</t>
    </rPh>
    <phoneticPr fontId="2"/>
  </si>
  <si>
    <t>一般障害者年齢</t>
    <rPh sb="0" eb="2">
      <t>イッパン</t>
    </rPh>
    <rPh sb="2" eb="5">
      <t>ショウガイシャ</t>
    </rPh>
    <rPh sb="5" eb="7">
      <t>ネンレイ</t>
    </rPh>
    <phoneticPr fontId="2"/>
  </si>
  <si>
    <t>特別障害者年齢</t>
    <rPh sb="0" eb="2">
      <t>トクベツ</t>
    </rPh>
    <rPh sb="2" eb="5">
      <t>ショウガイシャ</t>
    </rPh>
    <rPh sb="5" eb="7">
      <t>ネンレイ</t>
    </rPh>
    <phoneticPr fontId="2"/>
  </si>
  <si>
    <t>被相続人の前相続時取得純財産</t>
    <rPh sb="0" eb="1">
      <t>ヒ</t>
    </rPh>
    <rPh sb="1" eb="3">
      <t>ソウゾク</t>
    </rPh>
    <rPh sb="3" eb="4">
      <t>ニン</t>
    </rPh>
    <rPh sb="5" eb="6">
      <t>ゼン</t>
    </rPh>
    <rPh sb="6" eb="7">
      <t>ソウ</t>
    </rPh>
    <rPh sb="7" eb="8">
      <t>ゾク</t>
    </rPh>
    <rPh sb="8" eb="9">
      <t>ジ</t>
    </rPh>
    <rPh sb="9" eb="11">
      <t>シュトク</t>
    </rPh>
    <rPh sb="11" eb="12">
      <t>ジュン</t>
    </rPh>
    <rPh sb="12" eb="14">
      <t>ザイサン</t>
    </rPh>
    <phoneticPr fontId="2"/>
  </si>
  <si>
    <t>前相続時被相続人の相続税額</t>
    <rPh sb="4" eb="5">
      <t>ヒ</t>
    </rPh>
    <rPh sb="5" eb="7">
      <t>ソウゾク</t>
    </rPh>
    <rPh sb="7" eb="8">
      <t>ニン</t>
    </rPh>
    <rPh sb="9" eb="11">
      <t>ソウゾク</t>
    </rPh>
    <rPh sb="11" eb="13">
      <t>ゼイガク</t>
    </rPh>
    <phoneticPr fontId="2"/>
  </si>
  <si>
    <t>相続経過年数</t>
    <rPh sb="0" eb="2">
      <t>ソウゾク</t>
    </rPh>
    <rPh sb="2" eb="4">
      <t>ケイカ</t>
    </rPh>
    <rPh sb="4" eb="6">
      <t>ネンスウ</t>
    </rPh>
    <phoneticPr fontId="2"/>
  </si>
  <si>
    <t>暦年贈与税控除</t>
    <rPh sb="0" eb="2">
      <t>レキネン</t>
    </rPh>
    <rPh sb="2" eb="4">
      <t>ゾウヨ</t>
    </rPh>
    <rPh sb="4" eb="5">
      <t>ゼイ</t>
    </rPh>
    <rPh sb="5" eb="7">
      <t>コウジョ</t>
    </rPh>
    <phoneticPr fontId="2"/>
  </si>
  <si>
    <t>精算贈与税控除</t>
    <rPh sb="0" eb="2">
      <t>セイサン</t>
    </rPh>
    <rPh sb="2" eb="4">
      <t>ゾウヨ</t>
    </rPh>
    <rPh sb="4" eb="5">
      <t>ゼイ</t>
    </rPh>
    <rPh sb="5" eb="7">
      <t>コウジョ</t>
    </rPh>
    <phoneticPr fontId="2"/>
  </si>
  <si>
    <t>↓承継分20％加算後</t>
    <rPh sb="1" eb="3">
      <t>ショウケイ</t>
    </rPh>
    <rPh sb="3" eb="4">
      <t>ブン</t>
    </rPh>
    <rPh sb="7" eb="9">
      <t>カサン</t>
    </rPh>
    <rPh sb="9" eb="10">
      <t>ゴ</t>
    </rPh>
    <phoneticPr fontId="2"/>
  </si>
  <si>
    <t>当初課税価額</t>
    <rPh sb="0" eb="2">
      <t>トウショ</t>
    </rPh>
    <rPh sb="2" eb="4">
      <t>カゼイ</t>
    </rPh>
    <rPh sb="4" eb="6">
      <t>カガク</t>
    </rPh>
    <phoneticPr fontId="2"/>
  </si>
  <si>
    <t>当初財産価額</t>
    <rPh sb="0" eb="2">
      <t>トウショ</t>
    </rPh>
    <rPh sb="2" eb="4">
      <t>ザイサン</t>
    </rPh>
    <rPh sb="4" eb="6">
      <t>カガク</t>
    </rPh>
    <phoneticPr fontId="2"/>
  </si>
  <si>
    <t>遺産基礎控除額</t>
    <rPh sb="0" eb="2">
      <t>イサン</t>
    </rPh>
    <rPh sb="2" eb="4">
      <t>キソ</t>
    </rPh>
    <rPh sb="4" eb="6">
      <t>コウジョ</t>
    </rPh>
    <rPh sb="6" eb="7">
      <t>ガク</t>
    </rPh>
    <phoneticPr fontId="2"/>
  </si>
  <si>
    <t>当初相続税総額</t>
    <rPh sb="0" eb="2">
      <t>トウショ</t>
    </rPh>
    <rPh sb="2" eb="5">
      <t>ソウゾクゼイ</t>
    </rPh>
    <rPh sb="5" eb="7">
      <t>ソウガク</t>
    </rPh>
    <phoneticPr fontId="2"/>
  </si>
  <si>
    <t>対猶予者課税価額</t>
    <rPh sb="0" eb="1">
      <t>タイ</t>
    </rPh>
    <rPh sb="1" eb="3">
      <t>ユウヨ</t>
    </rPh>
    <rPh sb="3" eb="4">
      <t>シャ</t>
    </rPh>
    <rPh sb="4" eb="6">
      <t>カゼイ</t>
    </rPh>
    <rPh sb="6" eb="8">
      <t>カガク</t>
    </rPh>
    <phoneticPr fontId="2"/>
  </si>
  <si>
    <t>猶予者2割課税用相続税総額</t>
    <rPh sb="0" eb="2">
      <t>ユウヨ</t>
    </rPh>
    <rPh sb="2" eb="3">
      <t>シャ</t>
    </rPh>
    <rPh sb="4" eb="5">
      <t>ワリ</t>
    </rPh>
    <rPh sb="5" eb="7">
      <t>カゼイ</t>
    </rPh>
    <rPh sb="7" eb="8">
      <t>ヨウ</t>
    </rPh>
    <rPh sb="8" eb="11">
      <t>ソウゾクゼイ</t>
    </rPh>
    <rPh sb="11" eb="13">
      <t>ソウガク</t>
    </rPh>
    <phoneticPr fontId="2"/>
  </si>
  <si>
    <t>猶予者用相続税総額</t>
    <rPh sb="0" eb="2">
      <t>ユウヨ</t>
    </rPh>
    <rPh sb="2" eb="3">
      <t>シャ</t>
    </rPh>
    <rPh sb="3" eb="4">
      <t>ヨウ</t>
    </rPh>
    <rPh sb="4" eb="7">
      <t>ソウゾクゼイ</t>
    </rPh>
    <rPh sb="7" eb="9">
      <t>ソウガク</t>
    </rPh>
    <phoneticPr fontId="2"/>
  </si>
  <si>
    <t>承継納税猶予税額</t>
    <rPh sb="0" eb="2">
      <t>ショウケイ</t>
    </rPh>
    <rPh sb="2" eb="4">
      <t>ノウゼイ</t>
    </rPh>
    <rPh sb="4" eb="6">
      <t>ユウヨ</t>
    </rPh>
    <rPh sb="6" eb="7">
      <t>ゼイ</t>
    </rPh>
    <rPh sb="7" eb="8">
      <t>ガク</t>
    </rPh>
    <phoneticPr fontId="2"/>
  </si>
  <si>
    <t>猶予分対象財産価額</t>
    <rPh sb="0" eb="2">
      <t>ユウヨ</t>
    </rPh>
    <rPh sb="2" eb="3">
      <t>ブン</t>
    </rPh>
    <rPh sb="3" eb="5">
      <t>タイショウ</t>
    </rPh>
    <rPh sb="5" eb="7">
      <t>ザイサン</t>
    </rPh>
    <rPh sb="7" eb="9">
      <t>カガク</t>
    </rPh>
    <phoneticPr fontId="2"/>
  </si>
  <si>
    <t>③　特殊な相続の場合は以下に詳細をご入力下さい。</t>
    <rPh sb="2" eb="4">
      <t>トクシュ</t>
    </rPh>
    <rPh sb="5" eb="7">
      <t>ソウゾク</t>
    </rPh>
    <rPh sb="8" eb="10">
      <t>バアイ</t>
    </rPh>
    <rPh sb="11" eb="13">
      <t>イカ</t>
    </rPh>
    <rPh sb="14" eb="16">
      <t>ショウサイ</t>
    </rPh>
    <rPh sb="18" eb="20">
      <t>ニュウリョク</t>
    </rPh>
    <rPh sb="20" eb="21">
      <t>クダ</t>
    </rPh>
    <phoneticPr fontId="2"/>
  </si>
  <si>
    <t>④　相続人数をご入力下さい。</t>
    <rPh sb="2" eb="4">
      <t>ソウゾク</t>
    </rPh>
    <rPh sb="4" eb="6">
      <t>ニンズウ</t>
    </rPh>
    <rPh sb="8" eb="10">
      <t>ニュウリョク</t>
    </rPh>
    <rPh sb="10" eb="11">
      <t>クダ</t>
    </rPh>
    <phoneticPr fontId="2"/>
  </si>
  <si>
    <t>②  税額控除額がある場合は該当欄に入力してください。</t>
    <rPh sb="3" eb="7">
      <t>ゼイガクコウジョ</t>
    </rPh>
    <rPh sb="7" eb="8">
      <t>ガク</t>
    </rPh>
    <rPh sb="11" eb="13">
      <t>バアイ</t>
    </rPh>
    <rPh sb="14" eb="16">
      <t>ガイトウ</t>
    </rPh>
    <rPh sb="16" eb="17">
      <t>ラン</t>
    </rPh>
    <rPh sb="18" eb="20">
      <t>ニュウリョク</t>
    </rPh>
    <phoneticPr fontId="2"/>
  </si>
  <si>
    <t>①　相続人名、相続財産額などを入力して下さい。</t>
    <rPh sb="7" eb="9">
      <t>ソウゾク</t>
    </rPh>
    <rPh sb="9" eb="11">
      <t>ザイサン</t>
    </rPh>
    <rPh sb="11" eb="12">
      <t>ガク</t>
    </rPh>
    <rPh sb="15" eb="17">
      <t>ニュウリョク</t>
    </rPh>
    <rPh sb="19" eb="20">
      <t>クダ</t>
    </rPh>
    <phoneticPr fontId="2"/>
  </si>
  <si>
    <t>配  偶  者</t>
    <rPh sb="0" eb="1">
      <t>クバ</t>
    </rPh>
    <rPh sb="3" eb="4">
      <t>グウ</t>
    </rPh>
    <rPh sb="6" eb="7">
      <t>シャ</t>
    </rPh>
    <phoneticPr fontId="2"/>
  </si>
  <si>
    <t>相次相続税額控除の計算入力</t>
    <rPh sb="0" eb="1">
      <t>ソウ</t>
    </rPh>
    <rPh sb="1" eb="2">
      <t>ジ</t>
    </rPh>
    <rPh sb="2" eb="4">
      <t>ソウゾク</t>
    </rPh>
    <rPh sb="4" eb="6">
      <t>ゼイガク</t>
    </rPh>
    <rPh sb="6" eb="8">
      <t>コウジョ</t>
    </rPh>
    <rPh sb="9" eb="11">
      <t>ケイサン</t>
    </rPh>
    <rPh sb="11" eb="13">
      <t>ニュウリョク</t>
    </rPh>
    <phoneticPr fontId="2"/>
  </si>
  <si>
    <t>↓承継者外財産合計</t>
    <rPh sb="1" eb="3">
      <t>ショウケイ</t>
    </rPh>
    <rPh sb="3" eb="4">
      <t>シャ</t>
    </rPh>
    <rPh sb="4" eb="5">
      <t>ガイ</t>
    </rPh>
    <rPh sb="5" eb="6">
      <t>ザイ</t>
    </rPh>
    <rPh sb="6" eb="7">
      <t>サン</t>
    </rPh>
    <rPh sb="7" eb="9">
      <t>ゴウケイ</t>
    </rPh>
    <phoneticPr fontId="2"/>
  </si>
  <si>
    <t>↓猶予者2割加算額</t>
    <rPh sb="1" eb="3">
      <t>ユウヨ</t>
    </rPh>
    <rPh sb="3" eb="4">
      <t>シャ</t>
    </rPh>
    <rPh sb="5" eb="6">
      <t>ワリ</t>
    </rPh>
    <rPh sb="6" eb="8">
      <t>カサン</t>
    </rPh>
    <rPh sb="8" eb="9">
      <t>ガク</t>
    </rPh>
    <phoneticPr fontId="2"/>
  </si>
  <si>
    <t>2割加算猶予者課税額</t>
    <rPh sb="1" eb="2">
      <t>ワリ</t>
    </rPh>
    <rPh sb="2" eb="4">
      <t>カサン</t>
    </rPh>
    <rPh sb="7" eb="9">
      <t>カゼイ</t>
    </rPh>
    <rPh sb="9" eb="10">
      <t>ガク</t>
    </rPh>
    <phoneticPr fontId="2"/>
  </si>
  <si>
    <t>通常猶予者課税額</t>
    <rPh sb="0" eb="2">
      <t>ツウジョウ</t>
    </rPh>
    <phoneticPr fontId="2"/>
  </si>
  <si>
    <t>猶予者案分相続税額等</t>
    <rPh sb="0" eb="2">
      <t>ユウヨ</t>
    </rPh>
    <rPh sb="2" eb="3">
      <t>シャ</t>
    </rPh>
    <rPh sb="3" eb="5">
      <t>アンブン</t>
    </rPh>
    <rPh sb="5" eb="8">
      <t>ソウゾクゼイ</t>
    </rPh>
    <rPh sb="8" eb="9">
      <t>ガク</t>
    </rPh>
    <rPh sb="9" eb="10">
      <t>トウ</t>
    </rPh>
    <phoneticPr fontId="2"/>
  </si>
  <si>
    <t>本ソフトにて算出可能な記入箇所の一覧　（本ソフトにて算出できない記入箇所･項目もございます。）</t>
    <rPh sb="0" eb="1">
      <t>ホン</t>
    </rPh>
    <rPh sb="6" eb="8">
      <t>サンシュツ</t>
    </rPh>
    <rPh sb="8" eb="10">
      <t>カノウ</t>
    </rPh>
    <rPh sb="11" eb="13">
      <t>キニュウ</t>
    </rPh>
    <rPh sb="13" eb="15">
      <t>カショ</t>
    </rPh>
    <rPh sb="16" eb="18">
      <t>イチラン</t>
    </rPh>
    <rPh sb="20" eb="21">
      <t>ホン</t>
    </rPh>
    <rPh sb="26" eb="28">
      <t>サンシュツ</t>
    </rPh>
    <rPh sb="32" eb="34">
      <t>キニュウ</t>
    </rPh>
    <rPh sb="34" eb="36">
      <t>カショ</t>
    </rPh>
    <rPh sb="37" eb="39">
      <t>コウモク</t>
    </rPh>
    <phoneticPr fontId="2"/>
  </si>
  <si>
    <t>第1表・第1表(続)</t>
    <rPh sb="0" eb="1">
      <t>ダイ</t>
    </rPh>
    <rPh sb="2" eb="3">
      <t>ヒョウ</t>
    </rPh>
    <rPh sb="4" eb="5">
      <t>ダイ</t>
    </rPh>
    <rPh sb="6" eb="7">
      <t>ヒョウ</t>
    </rPh>
    <rPh sb="8" eb="9">
      <t>ゾク</t>
    </rPh>
    <phoneticPr fontId="2"/>
  </si>
  <si>
    <t>項目番号</t>
    <rPh sb="0" eb="2">
      <t>コウモク</t>
    </rPh>
    <rPh sb="2" eb="4">
      <t>バンゴウ</t>
    </rPh>
    <phoneticPr fontId="2"/>
  </si>
  <si>
    <t>各人合計</t>
    <rPh sb="0" eb="2">
      <t>カクジン</t>
    </rPh>
    <rPh sb="2" eb="4">
      <t>ゴウケイ</t>
    </rPh>
    <phoneticPr fontId="2"/>
  </si>
  <si>
    <t>財産を取得した人-1</t>
    <rPh sb="0" eb="2">
      <t>ザイサン</t>
    </rPh>
    <rPh sb="3" eb="5">
      <t>シュトク</t>
    </rPh>
    <rPh sb="7" eb="8">
      <t>ヒト</t>
    </rPh>
    <phoneticPr fontId="2"/>
  </si>
  <si>
    <t>財産を取得した人-2</t>
    <rPh sb="0" eb="2">
      <t>ザイサン</t>
    </rPh>
    <rPh sb="3" eb="5">
      <t>シュトク</t>
    </rPh>
    <rPh sb="7" eb="8">
      <t>ヒト</t>
    </rPh>
    <phoneticPr fontId="2"/>
  </si>
  <si>
    <t>財産を取得した人-3</t>
    <rPh sb="0" eb="2">
      <t>ザイサン</t>
    </rPh>
    <rPh sb="3" eb="5">
      <t>シュトク</t>
    </rPh>
    <rPh sb="7" eb="8">
      <t>ヒト</t>
    </rPh>
    <phoneticPr fontId="2"/>
  </si>
  <si>
    <t>財産を取得した人-4</t>
    <rPh sb="0" eb="2">
      <t>ザイサン</t>
    </rPh>
    <rPh sb="3" eb="5">
      <t>シュトク</t>
    </rPh>
    <rPh sb="7" eb="8">
      <t>ヒト</t>
    </rPh>
    <phoneticPr fontId="2"/>
  </si>
  <si>
    <t>財産を取得した人-5</t>
    <rPh sb="0" eb="2">
      <t>ザイサン</t>
    </rPh>
    <rPh sb="3" eb="5">
      <t>シュトク</t>
    </rPh>
    <rPh sb="7" eb="8">
      <t>ヒト</t>
    </rPh>
    <phoneticPr fontId="2"/>
  </si>
  <si>
    <t>財産を取得した人-6</t>
    <rPh sb="0" eb="2">
      <t>ザイサン</t>
    </rPh>
    <rPh sb="3" eb="5">
      <t>シュトク</t>
    </rPh>
    <rPh sb="7" eb="8">
      <t>ヒト</t>
    </rPh>
    <phoneticPr fontId="2"/>
  </si>
  <si>
    <t>注意！　空白箇所は左詰めで申告書にご記入ください。</t>
    <rPh sb="0" eb="2">
      <t>チュウイ</t>
    </rPh>
    <rPh sb="4" eb="6">
      <t>クウハク</t>
    </rPh>
    <rPh sb="6" eb="8">
      <t>カショ</t>
    </rPh>
    <rPh sb="9" eb="11">
      <t>ヒダリヅ</t>
    </rPh>
    <rPh sb="13" eb="16">
      <t>シンコクショ</t>
    </rPh>
    <rPh sb="18" eb="20">
      <t>キニュウ</t>
    </rPh>
    <phoneticPr fontId="2"/>
  </si>
  <si>
    <t>財産を取得した人-7</t>
    <rPh sb="0" eb="2">
      <t>ザイサン</t>
    </rPh>
    <rPh sb="3" eb="5">
      <t>シュトク</t>
    </rPh>
    <rPh sb="7" eb="8">
      <t>ヒト</t>
    </rPh>
    <phoneticPr fontId="2"/>
  </si>
  <si>
    <t>財産を取得した人-8</t>
    <rPh sb="0" eb="2">
      <t>ザイサン</t>
    </rPh>
    <rPh sb="3" eb="5">
      <t>シュトク</t>
    </rPh>
    <rPh sb="7" eb="8">
      <t>ヒト</t>
    </rPh>
    <phoneticPr fontId="2"/>
  </si>
  <si>
    <t>財産を取得した人-9</t>
    <rPh sb="0" eb="2">
      <t>ザイサン</t>
    </rPh>
    <rPh sb="3" eb="5">
      <t>シュトク</t>
    </rPh>
    <rPh sb="7" eb="8">
      <t>ヒト</t>
    </rPh>
    <phoneticPr fontId="2"/>
  </si>
  <si>
    <t>財産を取得した人-10</t>
    <rPh sb="0" eb="2">
      <t>ザイサン</t>
    </rPh>
    <rPh sb="3" eb="5">
      <t>シュトク</t>
    </rPh>
    <rPh sb="7" eb="8">
      <t>ヒト</t>
    </rPh>
    <phoneticPr fontId="2"/>
  </si>
  <si>
    <t>第1表の付表3</t>
    <rPh sb="0" eb="1">
      <t>ダイ</t>
    </rPh>
    <rPh sb="2" eb="3">
      <t>ヒョウ</t>
    </rPh>
    <rPh sb="4" eb="6">
      <t>フヒョウ</t>
    </rPh>
    <phoneticPr fontId="2"/>
  </si>
  <si>
    <t>３　相続税額等の計算</t>
    <rPh sb="2" eb="4">
      <t>ソウゾク</t>
    </rPh>
    <rPh sb="4" eb="7">
      <t>ゼイガクトウ</t>
    </rPh>
    <rPh sb="8" eb="10">
      <t>ケイサン</t>
    </rPh>
    <phoneticPr fontId="2"/>
  </si>
  <si>
    <t>４　信託財産責任負担債務の額の計算</t>
    <rPh sb="2" eb="4">
      <t>シンタク</t>
    </rPh>
    <rPh sb="4" eb="6">
      <t>ザイサン</t>
    </rPh>
    <rPh sb="6" eb="8">
      <t>セキニン</t>
    </rPh>
    <rPh sb="8" eb="10">
      <t>フタン</t>
    </rPh>
    <rPh sb="10" eb="12">
      <t>サイム</t>
    </rPh>
    <rPh sb="13" eb="14">
      <t>ガク</t>
    </rPh>
    <rPh sb="15" eb="17">
      <t>ケイサン</t>
    </rPh>
    <phoneticPr fontId="2"/>
  </si>
  <si>
    <t>信託財産責任負担債務の額の合計額</t>
    <rPh sb="13" eb="15">
      <t>ゴウケイ</t>
    </rPh>
    <rPh sb="15" eb="16">
      <t>ガク</t>
    </rPh>
    <phoneticPr fontId="2"/>
  </si>
  <si>
    <t>第1表の付表4</t>
    <rPh sb="0" eb="1">
      <t>ダイ</t>
    </rPh>
    <rPh sb="2" eb="3">
      <t>ヒョウ</t>
    </rPh>
    <rPh sb="4" eb="6">
      <t>フヒョウ</t>
    </rPh>
    <phoneticPr fontId="2"/>
  </si>
  <si>
    <t>２　相続税額から控除する法人税等に相当する額の計算</t>
    <rPh sb="2" eb="4">
      <t>ソウゾク</t>
    </rPh>
    <rPh sb="4" eb="6">
      <t>ゼイガク</t>
    </rPh>
    <rPh sb="8" eb="10">
      <t>コウジョ</t>
    </rPh>
    <rPh sb="12" eb="16">
      <t>ホウジンゼイトウ</t>
    </rPh>
    <rPh sb="17" eb="19">
      <t>ソウトウ</t>
    </rPh>
    <rPh sb="21" eb="22">
      <t>ガク</t>
    </rPh>
    <rPh sb="23" eb="25">
      <t>ケイサン</t>
    </rPh>
    <phoneticPr fontId="2"/>
  </si>
  <si>
    <t>３　相続税額から控除する法人税等に相当する額の限度額の計算</t>
    <rPh sb="2" eb="4">
      <t>ソウゾク</t>
    </rPh>
    <rPh sb="4" eb="6">
      <t>ゼイガク</t>
    </rPh>
    <rPh sb="8" eb="10">
      <t>コウジョ</t>
    </rPh>
    <rPh sb="12" eb="16">
      <t>ホウジンゼイトウ</t>
    </rPh>
    <rPh sb="17" eb="19">
      <t>ソウトウ</t>
    </rPh>
    <rPh sb="21" eb="22">
      <t>ガク</t>
    </rPh>
    <rPh sb="23" eb="25">
      <t>ゲンド</t>
    </rPh>
    <rPh sb="25" eb="26">
      <t>ガク</t>
    </rPh>
    <rPh sb="27" eb="29">
      <t>ケイサン</t>
    </rPh>
    <phoneticPr fontId="2"/>
  </si>
  <si>
    <t>４　申告納税額（納付すべき税額）の計算</t>
    <rPh sb="2" eb="4">
      <t>シンコク</t>
    </rPh>
    <rPh sb="4" eb="6">
      <t>ノウゼイ</t>
    </rPh>
    <rPh sb="6" eb="7">
      <t>ガク</t>
    </rPh>
    <rPh sb="8" eb="10">
      <t>ノウフ</t>
    </rPh>
    <rPh sb="13" eb="15">
      <t>ゼイガク</t>
    </rPh>
    <rPh sb="17" eb="19">
      <t>ケイサン</t>
    </rPh>
    <phoneticPr fontId="2"/>
  </si>
  <si>
    <t>第2表</t>
    <rPh sb="0" eb="1">
      <t>ダイ</t>
    </rPh>
    <rPh sb="2" eb="3">
      <t>ヒョウ</t>
    </rPh>
    <phoneticPr fontId="2"/>
  </si>
  <si>
    <t>1-イ</t>
    <phoneticPr fontId="2"/>
  </si>
  <si>
    <t>2-ロ</t>
    <phoneticPr fontId="2"/>
  </si>
  <si>
    <t>3-ニ</t>
    <phoneticPr fontId="2"/>
  </si>
  <si>
    <t>1-ホ</t>
    <phoneticPr fontId="2"/>
  </si>
  <si>
    <t>2-ハ</t>
    <phoneticPr fontId="2"/>
  </si>
  <si>
    <t>3-ヘ</t>
    <phoneticPr fontId="2"/>
  </si>
  <si>
    <t>A</t>
    <phoneticPr fontId="2"/>
  </si>
  <si>
    <t>第3表</t>
    <rPh sb="0" eb="1">
      <t>ダイ</t>
    </rPh>
    <rPh sb="2" eb="3">
      <t>ヒョウ</t>
    </rPh>
    <phoneticPr fontId="2"/>
  </si>
  <si>
    <t>-</t>
    <phoneticPr fontId="2"/>
  </si>
  <si>
    <t>１　相続税加算金額の計算書</t>
    <rPh sb="2" eb="5">
      <t>ソウゾクゼイ</t>
    </rPh>
    <rPh sb="5" eb="7">
      <t>カサン</t>
    </rPh>
    <rPh sb="7" eb="9">
      <t>キンガク</t>
    </rPh>
    <rPh sb="10" eb="13">
      <t>ケイサンショ</t>
    </rPh>
    <phoneticPr fontId="2"/>
  </si>
  <si>
    <t>２　暦年課税分の贈与税額控除額の計算書</t>
    <rPh sb="2" eb="4">
      <t>レキネン</t>
    </rPh>
    <rPh sb="4" eb="6">
      <t>カゼイ</t>
    </rPh>
    <rPh sb="6" eb="7">
      <t>ブン</t>
    </rPh>
    <rPh sb="8" eb="10">
      <t>ゾウヨ</t>
    </rPh>
    <rPh sb="10" eb="12">
      <t>ゼイガク</t>
    </rPh>
    <rPh sb="12" eb="14">
      <t>コウジョ</t>
    </rPh>
    <rPh sb="14" eb="15">
      <t>ガク</t>
    </rPh>
    <rPh sb="16" eb="19">
      <t>ケイサンショ</t>
    </rPh>
    <phoneticPr fontId="2"/>
  </si>
  <si>
    <t>第5表</t>
    <rPh sb="0" eb="1">
      <t>ダイ</t>
    </rPh>
    <rPh sb="2" eb="3">
      <t>ヒョウ</t>
    </rPh>
    <phoneticPr fontId="2"/>
  </si>
  <si>
    <t>１　一般の場合</t>
    <rPh sb="2" eb="4">
      <t>イッパン</t>
    </rPh>
    <rPh sb="5" eb="7">
      <t>バアイ</t>
    </rPh>
    <phoneticPr fontId="2"/>
  </si>
  <si>
    <t>課税価格の合計額のうち配偶者の法定相続分相当額</t>
    <rPh sb="0" eb="2">
      <t>カゼイ</t>
    </rPh>
    <rPh sb="2" eb="4">
      <t>カカク</t>
    </rPh>
    <rPh sb="5" eb="7">
      <t>ゴウケイ</t>
    </rPh>
    <rPh sb="7" eb="8">
      <t>ガク</t>
    </rPh>
    <rPh sb="11" eb="14">
      <t>ハイグウシャ</t>
    </rPh>
    <rPh sb="15" eb="17">
      <t>ホウテイ</t>
    </rPh>
    <rPh sb="17" eb="19">
      <t>ソウゾク</t>
    </rPh>
    <rPh sb="19" eb="20">
      <t>ブン</t>
    </rPh>
    <rPh sb="20" eb="22">
      <t>ソウトウ</t>
    </rPh>
    <rPh sb="22" eb="23">
      <t>ガク</t>
    </rPh>
    <phoneticPr fontId="2"/>
  </si>
  <si>
    <t>,000円　ｘ</t>
    <rPh sb="4" eb="5">
      <t>エン</t>
    </rPh>
    <phoneticPr fontId="2"/>
  </si>
  <si>
    <t>＝</t>
    <phoneticPr fontId="2"/>
  </si>
  <si>
    <t>項目　イ</t>
    <rPh sb="0" eb="2">
      <t>コウモク</t>
    </rPh>
    <phoneticPr fontId="2"/>
  </si>
  <si>
    <t>配偶者の税額軽減の限度額</t>
    <rPh sb="0" eb="3">
      <t>ハイグウシャ</t>
    </rPh>
    <rPh sb="4" eb="6">
      <t>ゼイガク</t>
    </rPh>
    <rPh sb="6" eb="8">
      <t>ケイゲン</t>
    </rPh>
    <rPh sb="9" eb="11">
      <t>ゲンド</t>
    </rPh>
    <rPh sb="11" eb="12">
      <t>ガク</t>
    </rPh>
    <phoneticPr fontId="2"/>
  </si>
  <si>
    <t>２　配偶者以外の人が農業相続人である場合</t>
    <rPh sb="2" eb="5">
      <t>ハイグウシャ</t>
    </rPh>
    <rPh sb="5" eb="7">
      <t>イガイ</t>
    </rPh>
    <rPh sb="8" eb="9">
      <t>ヒト</t>
    </rPh>
    <rPh sb="10" eb="12">
      <t>ノウギョウ</t>
    </rPh>
    <rPh sb="12" eb="15">
      <t>ソウゾクニン</t>
    </rPh>
    <rPh sb="18" eb="20">
      <t>バアイ</t>
    </rPh>
    <phoneticPr fontId="2"/>
  </si>
  <si>
    <t>項目　ニ</t>
    <rPh sb="0" eb="2">
      <t>コウモク</t>
    </rPh>
    <phoneticPr fontId="2"/>
  </si>
  <si>
    <t>項目　ホ</t>
    <rPh sb="0" eb="2">
      <t>コウモク</t>
    </rPh>
    <phoneticPr fontId="2"/>
  </si>
  <si>
    <t>項目　ヘ</t>
    <rPh sb="0" eb="2">
      <t>コウモク</t>
    </rPh>
    <phoneticPr fontId="2"/>
  </si>
  <si>
    <t>第6表</t>
    <rPh sb="0" eb="1">
      <t>ダイ</t>
    </rPh>
    <rPh sb="2" eb="3">
      <t>ヒョウ</t>
    </rPh>
    <phoneticPr fontId="2"/>
  </si>
  <si>
    <t>１　未成年者控除</t>
    <rPh sb="2" eb="6">
      <t>ミセイネンシャ</t>
    </rPh>
    <rPh sb="6" eb="8">
      <t>コウジョ</t>
    </rPh>
    <phoneticPr fontId="2"/>
  </si>
  <si>
    <t>計</t>
    <rPh sb="0" eb="1">
      <t>ケイ</t>
    </rPh>
    <phoneticPr fontId="2"/>
  </si>
  <si>
    <t>２　障害者控除</t>
    <rPh sb="2" eb="5">
      <t>ショウガイシャ</t>
    </rPh>
    <rPh sb="5" eb="7">
      <t>コウジョ</t>
    </rPh>
    <phoneticPr fontId="2"/>
  </si>
  <si>
    <t>第7表</t>
    <rPh sb="0" eb="1">
      <t>ダイ</t>
    </rPh>
    <rPh sb="2" eb="3">
      <t>ヒョウ</t>
    </rPh>
    <phoneticPr fontId="2"/>
  </si>
  <si>
    <t>円　ｘ</t>
    <rPh sb="0" eb="1">
      <t>エン</t>
    </rPh>
    <phoneticPr fontId="2"/>
  </si>
  <si>
    <t>（１）　一般の場合</t>
    <rPh sb="4" eb="6">
      <t>イッパン</t>
    </rPh>
    <rPh sb="7" eb="9">
      <t>バアイ</t>
    </rPh>
    <phoneticPr fontId="2"/>
  </si>
  <si>
    <t>（２）　相続人のうちに農業相続人がいる場合</t>
    <rPh sb="4" eb="7">
      <t>ソウゾクニン</t>
    </rPh>
    <rPh sb="11" eb="13">
      <t>ノウギョウ</t>
    </rPh>
    <rPh sb="13" eb="16">
      <t>ソウゾクニン</t>
    </rPh>
    <rPh sb="19" eb="21">
      <t>バアイ</t>
    </rPh>
    <phoneticPr fontId="2"/>
  </si>
  <si>
    <t>第8表</t>
    <rPh sb="0" eb="1">
      <t>ダイ</t>
    </rPh>
    <rPh sb="2" eb="3">
      <t>ヒョウ</t>
    </rPh>
    <phoneticPr fontId="2"/>
  </si>
  <si>
    <t>１　外国税額控除</t>
    <rPh sb="2" eb="4">
      <t>ガイコク</t>
    </rPh>
    <rPh sb="4" eb="6">
      <t>ゼイガク</t>
    </rPh>
    <rPh sb="6" eb="8">
      <t>コウジョ</t>
    </rPh>
    <phoneticPr fontId="2"/>
  </si>
  <si>
    <t>２　農地等納税猶予税額</t>
    <rPh sb="2" eb="5">
      <t>ノウチトウ</t>
    </rPh>
    <rPh sb="5" eb="7">
      <t>ノウゼイ</t>
    </rPh>
    <rPh sb="7" eb="9">
      <t>ユウヨ</t>
    </rPh>
    <rPh sb="9" eb="11">
      <t>ゼイガク</t>
    </rPh>
    <phoneticPr fontId="2"/>
  </si>
  <si>
    <t>第8表の2表の付表1</t>
    <rPh sb="0" eb="1">
      <t>ダイ</t>
    </rPh>
    <rPh sb="2" eb="3">
      <t>ヒョウ</t>
    </rPh>
    <rPh sb="5" eb="6">
      <t>ヒョウ</t>
    </rPh>
    <rPh sb="7" eb="9">
      <t>フヒョウ</t>
    </rPh>
    <phoneticPr fontId="2"/>
  </si>
  <si>
    <t>１　特例非上場株式等に係る会社</t>
    <rPh sb="2" eb="4">
      <t>トクレイ</t>
    </rPh>
    <rPh sb="4" eb="7">
      <t>ヒジョウジョウ</t>
    </rPh>
    <rPh sb="7" eb="10">
      <t>カブシキトウ</t>
    </rPh>
    <rPh sb="11" eb="12">
      <t>カカ</t>
    </rPh>
    <rPh sb="13" eb="15">
      <t>カイシャ</t>
    </rPh>
    <phoneticPr fontId="2"/>
  </si>
  <si>
    <t>２　特例非上場株式等の明細</t>
    <rPh sb="2" eb="4">
      <t>トクレイ</t>
    </rPh>
    <rPh sb="4" eb="7">
      <t>ヒジョウジョウ</t>
    </rPh>
    <rPh sb="7" eb="10">
      <t>カブシキトウ</t>
    </rPh>
    <rPh sb="11" eb="13">
      <t>メイサイ</t>
    </rPh>
    <phoneticPr fontId="2"/>
  </si>
  <si>
    <t>３　納税猶予の特例適用を受ける</t>
    <rPh sb="2" eb="4">
      <t>ノウゼイ</t>
    </rPh>
    <rPh sb="4" eb="6">
      <t>ユウヨ</t>
    </rPh>
    <rPh sb="7" eb="9">
      <t>トクレイ</t>
    </rPh>
    <rPh sb="9" eb="11">
      <t>テキヨウ</t>
    </rPh>
    <rPh sb="12" eb="13">
      <t>ウ</t>
    </rPh>
    <phoneticPr fontId="2"/>
  </si>
  <si>
    <t>株式等の数等の限度数（限度額）の計算</t>
    <rPh sb="4" eb="6">
      <t>カズトウ</t>
    </rPh>
    <rPh sb="7" eb="10">
      <t>ゲンドスウ</t>
    </rPh>
    <rPh sb="11" eb="13">
      <t>ゲンド</t>
    </rPh>
    <rPh sb="13" eb="14">
      <t>ガク</t>
    </rPh>
    <rPh sb="16" eb="18">
      <t>ケイサン</t>
    </rPh>
    <phoneticPr fontId="2"/>
  </si>
  <si>
    <t>４　会社が現物出資又は贈与により取得した資産の明細書</t>
    <rPh sb="2" eb="4">
      <t>カイシャ</t>
    </rPh>
    <rPh sb="5" eb="7">
      <t>ゲンブツ</t>
    </rPh>
    <rPh sb="7" eb="9">
      <t>シュッシ</t>
    </rPh>
    <rPh sb="9" eb="10">
      <t>マタ</t>
    </rPh>
    <rPh sb="11" eb="13">
      <t>ゾウヨ</t>
    </rPh>
    <rPh sb="16" eb="18">
      <t>シュトク</t>
    </rPh>
    <rPh sb="20" eb="22">
      <t>シサン</t>
    </rPh>
    <rPh sb="23" eb="26">
      <t>メイサイショ</t>
    </rPh>
    <phoneticPr fontId="2"/>
  </si>
  <si>
    <t>取得年月日</t>
    <rPh sb="0" eb="2">
      <t>シュトク</t>
    </rPh>
    <rPh sb="2" eb="5">
      <t>ネンガッピ</t>
    </rPh>
    <phoneticPr fontId="2"/>
  </si>
  <si>
    <t>種類</t>
    <rPh sb="0" eb="2">
      <t>シュルイ</t>
    </rPh>
    <phoneticPr fontId="2"/>
  </si>
  <si>
    <t>細目</t>
    <rPh sb="0" eb="2">
      <t>サイモク</t>
    </rPh>
    <phoneticPr fontId="2"/>
  </si>
  <si>
    <t>利用区分</t>
    <rPh sb="0" eb="2">
      <t>リヨウ</t>
    </rPh>
    <rPh sb="2" eb="4">
      <t>クブン</t>
    </rPh>
    <phoneticPr fontId="2"/>
  </si>
  <si>
    <t>所在場所等</t>
    <rPh sb="0" eb="2">
      <t>ショザイ</t>
    </rPh>
    <rPh sb="2" eb="5">
      <t>バショトウ</t>
    </rPh>
    <phoneticPr fontId="2"/>
  </si>
  <si>
    <t>数量</t>
    <rPh sb="0" eb="2">
      <t>スウリョウ</t>
    </rPh>
    <phoneticPr fontId="2"/>
  </si>
  <si>
    <t>①価格</t>
    <rPh sb="1" eb="3">
      <t>カカク</t>
    </rPh>
    <phoneticPr fontId="2"/>
  </si>
  <si>
    <t>出資者・贈与者の指名･名称</t>
    <rPh sb="0" eb="3">
      <t>シュッシシャ</t>
    </rPh>
    <rPh sb="4" eb="7">
      <t>ゾウヨシャ</t>
    </rPh>
    <rPh sb="8" eb="10">
      <t>シメイ</t>
    </rPh>
    <rPh sb="11" eb="13">
      <t>メイショウ</t>
    </rPh>
    <phoneticPr fontId="2"/>
  </si>
  <si>
    <t>②　現物出資又は贈与により取得した資産の価格の合計額（①の合計額）</t>
    <rPh sb="2" eb="4">
      <t>ゲンブツ</t>
    </rPh>
    <rPh sb="4" eb="6">
      <t>シュッシ</t>
    </rPh>
    <rPh sb="6" eb="7">
      <t>マタ</t>
    </rPh>
    <rPh sb="8" eb="10">
      <t>ゾウヨ</t>
    </rPh>
    <rPh sb="13" eb="15">
      <t>シュトク</t>
    </rPh>
    <rPh sb="17" eb="19">
      <t>シサン</t>
    </rPh>
    <rPh sb="20" eb="22">
      <t>カカク</t>
    </rPh>
    <rPh sb="23" eb="25">
      <t>ゴウケイ</t>
    </rPh>
    <rPh sb="25" eb="26">
      <t>ガク</t>
    </rPh>
    <rPh sb="29" eb="31">
      <t>ゴウケイ</t>
    </rPh>
    <rPh sb="31" eb="32">
      <t>ガク</t>
    </rPh>
    <phoneticPr fontId="2"/>
  </si>
  <si>
    <t>③　会社全ての資産の価格の合計額</t>
    <rPh sb="2" eb="4">
      <t>カイシャ</t>
    </rPh>
    <rPh sb="4" eb="5">
      <t>スベ</t>
    </rPh>
    <rPh sb="7" eb="9">
      <t>シサン</t>
    </rPh>
    <rPh sb="10" eb="12">
      <t>カカク</t>
    </rPh>
    <rPh sb="13" eb="15">
      <t>ゴウケイ</t>
    </rPh>
    <rPh sb="15" eb="16">
      <t>ガク</t>
    </rPh>
    <phoneticPr fontId="2"/>
  </si>
  <si>
    <t>④　現物出資等資産の保有割合（②／③）</t>
    <rPh sb="2" eb="4">
      <t>ゲンブツ</t>
    </rPh>
    <rPh sb="4" eb="6">
      <t>シュッシ</t>
    </rPh>
    <rPh sb="6" eb="7">
      <t>トウ</t>
    </rPh>
    <rPh sb="7" eb="9">
      <t>シサン</t>
    </rPh>
    <rPh sb="10" eb="12">
      <t>ホユウ</t>
    </rPh>
    <rPh sb="12" eb="14">
      <t>ワリアイ</t>
    </rPh>
    <phoneticPr fontId="2"/>
  </si>
  <si>
    <t>第8表の2表の付表2</t>
    <rPh sb="0" eb="1">
      <t>ダイ</t>
    </rPh>
    <rPh sb="2" eb="3">
      <t>ヒョウ</t>
    </rPh>
    <rPh sb="5" eb="6">
      <t>ヒョウ</t>
    </rPh>
    <rPh sb="7" eb="9">
      <t>フヒョウ</t>
    </rPh>
    <phoneticPr fontId="2"/>
  </si>
  <si>
    <t>イ</t>
    <phoneticPr fontId="2"/>
  </si>
  <si>
    <t>ロ</t>
    <phoneticPr fontId="2"/>
  </si>
  <si>
    <t>ハ</t>
    <phoneticPr fontId="2"/>
  </si>
  <si>
    <t>合計</t>
    <rPh sb="0" eb="2">
      <t>ゴウケイ</t>
    </rPh>
    <phoneticPr fontId="2"/>
  </si>
  <si>
    <t>第8表の2表の付表3</t>
    <rPh sb="0" eb="1">
      <t>ダイ</t>
    </rPh>
    <rPh sb="2" eb="3">
      <t>ヒョウ</t>
    </rPh>
    <rPh sb="5" eb="6">
      <t>ヒョウ</t>
    </rPh>
    <rPh sb="7" eb="9">
      <t>フヒョウ</t>
    </rPh>
    <phoneticPr fontId="2"/>
  </si>
  <si>
    <t>第9表</t>
    <rPh sb="0" eb="1">
      <t>ダイ</t>
    </rPh>
    <rPh sb="2" eb="3">
      <t>ヒョウ</t>
    </rPh>
    <phoneticPr fontId="2"/>
  </si>
  <si>
    <t>１　相続や遺贈によって取得したものとみなされる保険金など</t>
    <rPh sb="2" eb="4">
      <t>ソウゾク</t>
    </rPh>
    <rPh sb="5" eb="7">
      <t>イゾウ</t>
    </rPh>
    <rPh sb="11" eb="13">
      <t>シュトク</t>
    </rPh>
    <rPh sb="23" eb="26">
      <t>ホケンキン</t>
    </rPh>
    <phoneticPr fontId="2"/>
  </si>
  <si>
    <t>所在地</t>
    <rPh sb="0" eb="3">
      <t>ショザイチ</t>
    </rPh>
    <phoneticPr fontId="2"/>
  </si>
  <si>
    <t>名称</t>
    <rPh sb="0" eb="2">
      <t>メイショウ</t>
    </rPh>
    <phoneticPr fontId="2"/>
  </si>
  <si>
    <t>年月日</t>
    <rPh sb="0" eb="3">
      <t>ネンガッピ</t>
    </rPh>
    <phoneticPr fontId="2"/>
  </si>
  <si>
    <t>金額</t>
    <rPh sb="0" eb="2">
      <t>キンガク</t>
    </rPh>
    <phoneticPr fontId="2"/>
  </si>
  <si>
    <t>２　課税される金額の計算</t>
    <rPh sb="2" eb="4">
      <t>カゼイ</t>
    </rPh>
    <rPh sb="7" eb="9">
      <t>キンガク</t>
    </rPh>
    <rPh sb="10" eb="12">
      <t>ケイサン</t>
    </rPh>
    <phoneticPr fontId="2"/>
  </si>
  <si>
    <t>人</t>
    <rPh sb="0" eb="1">
      <t>ニン</t>
    </rPh>
    <phoneticPr fontId="2"/>
  </si>
  <si>
    <t>氏名</t>
    <rPh sb="0" eb="2">
      <t>シメイ</t>
    </rPh>
    <phoneticPr fontId="2"/>
  </si>
  <si>
    <t>第10表</t>
    <rPh sb="0" eb="1">
      <t>ダイ</t>
    </rPh>
    <rPh sb="3" eb="4">
      <t>ヒョウ</t>
    </rPh>
    <phoneticPr fontId="2"/>
  </si>
  <si>
    <t>１　相続や遺贈によって取得したものとみなされる退職手当金など</t>
    <rPh sb="23" eb="25">
      <t>タイショク</t>
    </rPh>
    <rPh sb="25" eb="27">
      <t>テアテ</t>
    </rPh>
    <rPh sb="27" eb="28">
      <t>キン</t>
    </rPh>
    <phoneticPr fontId="2"/>
  </si>
  <si>
    <t>分割状況</t>
    <rPh sb="0" eb="2">
      <t>ブンカツ</t>
    </rPh>
    <rPh sb="2" eb="4">
      <t>ジョウキョウ</t>
    </rPh>
    <phoneticPr fontId="2"/>
  </si>
  <si>
    <t>区分</t>
    <rPh sb="0" eb="2">
      <t>クブン</t>
    </rPh>
    <phoneticPr fontId="2"/>
  </si>
  <si>
    <t>分割の日</t>
    <rPh sb="0" eb="2">
      <t>ブンカツ</t>
    </rPh>
    <rPh sb="3" eb="4">
      <t>ヒ</t>
    </rPh>
    <phoneticPr fontId="2"/>
  </si>
  <si>
    <t>財産の明細</t>
    <rPh sb="0" eb="2">
      <t>ザイサン</t>
    </rPh>
    <rPh sb="3" eb="5">
      <t>メイサイ</t>
    </rPh>
    <phoneticPr fontId="2"/>
  </si>
  <si>
    <t>分割が確定した財産</t>
    <rPh sb="0" eb="2">
      <t>ブンカツ</t>
    </rPh>
    <rPh sb="3" eb="5">
      <t>カクテイ</t>
    </rPh>
    <rPh sb="7" eb="9">
      <t>ザイサン</t>
    </rPh>
    <phoneticPr fontId="2"/>
  </si>
  <si>
    <t>利用区分、銘柄等</t>
    <rPh sb="0" eb="2">
      <t>リヨウ</t>
    </rPh>
    <rPh sb="2" eb="4">
      <t>クブン</t>
    </rPh>
    <rPh sb="5" eb="8">
      <t>メイガラトウ</t>
    </rPh>
    <phoneticPr fontId="2"/>
  </si>
  <si>
    <t>単価</t>
    <rPh sb="0" eb="2">
      <t>タンカ</t>
    </rPh>
    <phoneticPr fontId="2"/>
  </si>
  <si>
    <t>取得した人の氏名</t>
    <rPh sb="0" eb="2">
      <t>シュトク</t>
    </rPh>
    <rPh sb="4" eb="5">
      <t>ヒト</t>
    </rPh>
    <rPh sb="6" eb="8">
      <t>シメイ</t>
    </rPh>
    <phoneticPr fontId="2"/>
  </si>
  <si>
    <t>固定資産税評価額</t>
    <rPh sb="0" eb="2">
      <t>コテイ</t>
    </rPh>
    <rPh sb="2" eb="5">
      <t>シサンゼイ</t>
    </rPh>
    <rPh sb="5" eb="8">
      <t>ヒョウカガク</t>
    </rPh>
    <phoneticPr fontId="2"/>
  </si>
  <si>
    <t>倍数</t>
    <rPh sb="0" eb="2">
      <t>バイスウ</t>
    </rPh>
    <phoneticPr fontId="2"/>
  </si>
  <si>
    <t>第11の2表</t>
    <rPh sb="0" eb="1">
      <t>ダイ</t>
    </rPh>
    <rPh sb="5" eb="6">
      <t>ヒョウ</t>
    </rPh>
    <phoneticPr fontId="2"/>
  </si>
  <si>
    <t>１　相続税の課税価格に加算する相続時精算課税適用財産の課税価格及び納付すべき相続税額から控除すべき贈与税額の明細</t>
    <rPh sb="2" eb="5">
      <t>ソウゾクゼイ</t>
    </rPh>
    <rPh sb="6" eb="8">
      <t>カゼイ</t>
    </rPh>
    <rPh sb="8" eb="10">
      <t>カカク</t>
    </rPh>
    <rPh sb="11" eb="13">
      <t>カサン</t>
    </rPh>
    <rPh sb="15" eb="17">
      <t>ソウゾク</t>
    </rPh>
    <rPh sb="17" eb="18">
      <t>トキ</t>
    </rPh>
    <rPh sb="18" eb="20">
      <t>セイサン</t>
    </rPh>
    <rPh sb="20" eb="22">
      <t>カゼイ</t>
    </rPh>
    <rPh sb="22" eb="24">
      <t>テキヨウ</t>
    </rPh>
    <rPh sb="24" eb="26">
      <t>ザイサン</t>
    </rPh>
    <rPh sb="27" eb="29">
      <t>カゼイ</t>
    </rPh>
    <rPh sb="29" eb="31">
      <t>カカク</t>
    </rPh>
    <rPh sb="31" eb="32">
      <t>オヨ</t>
    </rPh>
    <rPh sb="33" eb="35">
      <t>ノウフ</t>
    </rPh>
    <rPh sb="38" eb="40">
      <t>ソウゾク</t>
    </rPh>
    <rPh sb="40" eb="42">
      <t>ゼイガク</t>
    </rPh>
    <rPh sb="44" eb="46">
      <t>コウジョ</t>
    </rPh>
    <rPh sb="49" eb="52">
      <t>ゾウヨゼイ</t>
    </rPh>
    <rPh sb="52" eb="53">
      <t>ガク</t>
    </rPh>
    <rPh sb="54" eb="56">
      <t>メイサイ</t>
    </rPh>
    <phoneticPr fontId="2"/>
  </si>
  <si>
    <t>番号</t>
    <rPh sb="0" eb="2">
      <t>バンゴウ</t>
    </rPh>
    <phoneticPr fontId="2"/>
  </si>
  <si>
    <t>①</t>
    <phoneticPr fontId="2"/>
  </si>
  <si>
    <t>②</t>
    <phoneticPr fontId="2"/>
  </si>
  <si>
    <t>③</t>
    <phoneticPr fontId="2"/>
  </si>
  <si>
    <t>２　相続時精算課税適用財産（１の④）の明細</t>
    <rPh sb="2" eb="4">
      <t>ソウゾク</t>
    </rPh>
    <rPh sb="4" eb="5">
      <t>ジ</t>
    </rPh>
    <rPh sb="5" eb="7">
      <t>セイサン</t>
    </rPh>
    <rPh sb="7" eb="9">
      <t>カゼイ</t>
    </rPh>
    <rPh sb="9" eb="11">
      <t>テキヨウ</t>
    </rPh>
    <rPh sb="11" eb="13">
      <t>ザイサン</t>
    </rPh>
    <rPh sb="19" eb="21">
      <t>メイサイ</t>
    </rPh>
    <phoneticPr fontId="2"/>
  </si>
  <si>
    <t>利用区分・銘柄等</t>
    <rPh sb="0" eb="2">
      <t>リヨウ</t>
    </rPh>
    <rPh sb="2" eb="4">
      <t>クブン</t>
    </rPh>
    <rPh sb="5" eb="7">
      <t>メイガラ</t>
    </rPh>
    <rPh sb="7" eb="8">
      <t>ナド</t>
    </rPh>
    <phoneticPr fontId="2"/>
  </si>
  <si>
    <t>所在場所等</t>
    <rPh sb="0" eb="2">
      <t>ショザイ</t>
    </rPh>
    <rPh sb="2" eb="5">
      <t>バショナド</t>
    </rPh>
    <phoneticPr fontId="2"/>
  </si>
  <si>
    <t>価額</t>
    <rPh sb="0" eb="2">
      <t>カガク</t>
    </rPh>
    <phoneticPr fontId="2"/>
  </si>
  <si>
    <t>１　小規模宅地等の明細</t>
    <rPh sb="2" eb="5">
      <t>ショウキボ</t>
    </rPh>
    <rPh sb="5" eb="8">
      <t>タクチナド</t>
    </rPh>
    <rPh sb="9" eb="11">
      <t>メイサイ</t>
    </rPh>
    <phoneticPr fontId="2"/>
  </si>
  <si>
    <t>２　限度面積要件の判定</t>
    <rPh sb="2" eb="4">
      <t>ゲンド</t>
    </rPh>
    <rPh sb="4" eb="6">
      <t>メンセキ</t>
    </rPh>
    <rPh sb="6" eb="8">
      <t>ヨウケン</t>
    </rPh>
    <rPh sb="9" eb="11">
      <t>ハンテイ</t>
    </rPh>
    <phoneticPr fontId="2"/>
  </si>
  <si>
    <t>+</t>
    <phoneticPr fontId="2"/>
  </si>
  <si>
    <t>x5/3+</t>
    <phoneticPr fontId="2"/>
  </si>
  <si>
    <t>x2=</t>
    <phoneticPr fontId="2"/>
  </si>
  <si>
    <t>第１１・１１の２表の付表2の2</t>
    <rPh sb="0" eb="1">
      <t>ダイ</t>
    </rPh>
    <rPh sb="8" eb="9">
      <t>ヒョウ</t>
    </rPh>
    <rPh sb="10" eb="12">
      <t>フヒョウ</t>
    </rPh>
    <phoneticPr fontId="2"/>
  </si>
  <si>
    <t>３　「⑥課税価格の計算に当たって減税される金額」の計算</t>
    <rPh sb="4" eb="6">
      <t>カゼイ</t>
    </rPh>
    <rPh sb="6" eb="8">
      <t>カカク</t>
    </rPh>
    <rPh sb="9" eb="11">
      <t>ケイサン</t>
    </rPh>
    <rPh sb="12" eb="13">
      <t>ア</t>
    </rPh>
    <rPh sb="16" eb="18">
      <t>ゲンゼイ</t>
    </rPh>
    <rPh sb="21" eb="23">
      <t>キンガク</t>
    </rPh>
    <rPh sb="25" eb="27">
      <t>ケイサン</t>
    </rPh>
    <phoneticPr fontId="2"/>
  </si>
  <si>
    <t>80/100</t>
    <phoneticPr fontId="2"/>
  </si>
  <si>
    <t>50/100</t>
    <phoneticPr fontId="2"/>
  </si>
  <si>
    <t>第11・11の2表の付表3</t>
    <rPh sb="0" eb="1">
      <t>ダイ</t>
    </rPh>
    <rPh sb="8" eb="9">
      <t>ヒョウ</t>
    </rPh>
    <rPh sb="10" eb="12">
      <t>フヒョウ</t>
    </rPh>
    <phoneticPr fontId="2"/>
  </si>
  <si>
    <t>法人名</t>
    <rPh sb="0" eb="2">
      <t>ホウジン</t>
    </rPh>
    <rPh sb="2" eb="3">
      <t>メイ</t>
    </rPh>
    <phoneticPr fontId="2"/>
  </si>
  <si>
    <t>税務署名</t>
    <rPh sb="0" eb="3">
      <t>ゼイムショ</t>
    </rPh>
    <rPh sb="3" eb="4">
      <t>メイ</t>
    </rPh>
    <phoneticPr fontId="2"/>
  </si>
  <si>
    <t>期間</t>
    <rPh sb="0" eb="2">
      <t>キカン</t>
    </rPh>
    <phoneticPr fontId="2"/>
  </si>
  <si>
    <t>10億円を超える場合は特例適用不可→</t>
    <rPh sb="2" eb="4">
      <t>オクエン</t>
    </rPh>
    <rPh sb="5" eb="6">
      <t>コ</t>
    </rPh>
    <rPh sb="8" eb="10">
      <t>バアイ</t>
    </rPh>
    <rPh sb="11" eb="13">
      <t>トクレイ</t>
    </rPh>
    <rPh sb="13" eb="15">
      <t>テキヨウ</t>
    </rPh>
    <rPh sb="15" eb="17">
      <t>フカ</t>
    </rPh>
    <phoneticPr fontId="2"/>
  </si>
  <si>
    <t>第11・11の2表の付表3の2</t>
    <rPh sb="0" eb="1">
      <t>ダイ</t>
    </rPh>
    <rPh sb="8" eb="9">
      <t>ヒョウ</t>
    </rPh>
    <rPh sb="10" eb="12">
      <t>フヒョウ</t>
    </rPh>
    <phoneticPr fontId="2"/>
  </si>
  <si>
    <t>ア</t>
    <phoneticPr fontId="2"/>
  </si>
  <si>
    <t>法人の整理番号</t>
    <rPh sb="0" eb="2">
      <t>ホウジン</t>
    </rPh>
    <rPh sb="3" eb="5">
      <t>セイリ</t>
    </rPh>
    <rPh sb="5" eb="7">
      <t>バンゴウ</t>
    </rPh>
    <phoneticPr fontId="2"/>
  </si>
  <si>
    <t>所轄税務署名</t>
    <rPh sb="0" eb="2">
      <t>ショカツ</t>
    </rPh>
    <rPh sb="2" eb="5">
      <t>ゼイムショ</t>
    </rPh>
    <rPh sb="5" eb="6">
      <t>メイ</t>
    </rPh>
    <phoneticPr fontId="2"/>
  </si>
  <si>
    <t>会社分割の日</t>
    <rPh sb="0" eb="2">
      <t>カイシャ</t>
    </rPh>
    <rPh sb="2" eb="4">
      <t>ブンカツ</t>
    </rPh>
    <rPh sb="5" eb="6">
      <t>ヒ</t>
    </rPh>
    <phoneticPr fontId="2"/>
  </si>
  <si>
    <t>会社分割等の事由</t>
    <rPh sb="0" eb="2">
      <t>カイシャ</t>
    </rPh>
    <rPh sb="2" eb="4">
      <t>ブンカツ</t>
    </rPh>
    <rPh sb="4" eb="5">
      <t>ナド</t>
    </rPh>
    <rPh sb="6" eb="8">
      <t>ジユウ</t>
    </rPh>
    <phoneticPr fontId="2"/>
  </si>
  <si>
    <t>贈与年月日</t>
    <rPh sb="0" eb="2">
      <t>ゾウヨ</t>
    </rPh>
    <rPh sb="2" eb="5">
      <t>ネンガッピ</t>
    </rPh>
    <phoneticPr fontId="2"/>
  </si>
  <si>
    <t>ウ</t>
    <phoneticPr fontId="2"/>
  </si>
  <si>
    <t>第11・11の2表の付表4</t>
    <rPh sb="0" eb="1">
      <t>ダイ</t>
    </rPh>
    <rPh sb="8" eb="9">
      <t>ヒョウ</t>
    </rPh>
    <rPh sb="10" eb="12">
      <t>フヒョウ</t>
    </rPh>
    <phoneticPr fontId="2"/>
  </si>
  <si>
    <t>１　特定森林施業計画対象山林である選択特定計画山林の明細</t>
    <rPh sb="2" eb="4">
      <t>トクテイ</t>
    </rPh>
    <rPh sb="4" eb="6">
      <t>シンリン</t>
    </rPh>
    <rPh sb="6" eb="8">
      <t>セギョウ</t>
    </rPh>
    <rPh sb="8" eb="10">
      <t>ケイカク</t>
    </rPh>
    <rPh sb="10" eb="12">
      <t>タイショウ</t>
    </rPh>
    <rPh sb="12" eb="14">
      <t>サンリン</t>
    </rPh>
    <rPh sb="17" eb="19">
      <t>センタク</t>
    </rPh>
    <rPh sb="19" eb="21">
      <t>トクテイ</t>
    </rPh>
    <rPh sb="21" eb="23">
      <t>ケイカク</t>
    </rPh>
    <rPh sb="23" eb="25">
      <t>サンリン</t>
    </rPh>
    <rPh sb="26" eb="28">
      <t>メイサイ</t>
    </rPh>
    <phoneticPr fontId="2"/>
  </si>
  <si>
    <t>場所</t>
    <rPh sb="0" eb="2">
      <t>バショ</t>
    </rPh>
    <phoneticPr fontId="2"/>
  </si>
  <si>
    <t>立木･土地等の別</t>
    <rPh sb="0" eb="2">
      <t>タチキ</t>
    </rPh>
    <rPh sb="3" eb="6">
      <t>トチトウ</t>
    </rPh>
    <rPh sb="7" eb="8">
      <t>ベツ</t>
    </rPh>
    <phoneticPr fontId="2"/>
  </si>
  <si>
    <t>面積</t>
    <rPh sb="0" eb="2">
      <t>メンセキ</t>
    </rPh>
    <phoneticPr fontId="2"/>
  </si>
  <si>
    <t>立木</t>
    <rPh sb="0" eb="1">
      <t>タチ</t>
    </rPh>
    <rPh sb="1" eb="2">
      <t>ギ</t>
    </rPh>
    <phoneticPr fontId="2"/>
  </si>
  <si>
    <t>土地等</t>
    <rPh sb="0" eb="2">
      <t>トチ</t>
    </rPh>
    <rPh sb="2" eb="3">
      <t>ナド</t>
    </rPh>
    <phoneticPr fontId="2"/>
  </si>
  <si>
    <t>２　特定受贈森林施業計画対象山林である選択特定計画山林の明細</t>
    <rPh sb="2" eb="4">
      <t>トクテイ</t>
    </rPh>
    <rPh sb="4" eb="6">
      <t>ジュゾウ</t>
    </rPh>
    <rPh sb="6" eb="8">
      <t>シンリン</t>
    </rPh>
    <rPh sb="8" eb="10">
      <t>セギョウ</t>
    </rPh>
    <rPh sb="10" eb="12">
      <t>ケイカク</t>
    </rPh>
    <rPh sb="12" eb="14">
      <t>タイショウ</t>
    </rPh>
    <rPh sb="14" eb="16">
      <t>サンリン</t>
    </rPh>
    <rPh sb="19" eb="21">
      <t>センタク</t>
    </rPh>
    <rPh sb="21" eb="23">
      <t>トクテイ</t>
    </rPh>
    <rPh sb="23" eb="25">
      <t>ケイカク</t>
    </rPh>
    <rPh sb="25" eb="27">
      <t>サンリン</t>
    </rPh>
    <rPh sb="28" eb="30">
      <t>メイサイ</t>
    </rPh>
    <phoneticPr fontId="2"/>
  </si>
  <si>
    <t>B</t>
    <phoneticPr fontId="2"/>
  </si>
  <si>
    <t>３　特定（受贈）森林施業計画対策山林である選択特定計画山林の価額の合計額</t>
    <rPh sb="2" eb="4">
      <t>トクテイ</t>
    </rPh>
    <rPh sb="5" eb="7">
      <t>ジュゾウ</t>
    </rPh>
    <rPh sb="8" eb="10">
      <t>シンリン</t>
    </rPh>
    <rPh sb="10" eb="12">
      <t>セギョウ</t>
    </rPh>
    <rPh sb="12" eb="14">
      <t>ケイカク</t>
    </rPh>
    <rPh sb="14" eb="16">
      <t>タイサク</t>
    </rPh>
    <rPh sb="16" eb="18">
      <t>サンリン</t>
    </rPh>
    <rPh sb="21" eb="23">
      <t>センタク</t>
    </rPh>
    <rPh sb="23" eb="25">
      <t>トクテイ</t>
    </rPh>
    <rPh sb="25" eb="27">
      <t>ケイカク</t>
    </rPh>
    <rPh sb="27" eb="29">
      <t>サンリン</t>
    </rPh>
    <rPh sb="30" eb="32">
      <t>カガク</t>
    </rPh>
    <rPh sb="33" eb="35">
      <t>ゴウケイ</t>
    </rPh>
    <rPh sb="35" eb="36">
      <t>ガク</t>
    </rPh>
    <phoneticPr fontId="2"/>
  </si>
  <si>
    <t>農業投資価格により計算した取得財産の価額</t>
    <rPh sb="0" eb="2">
      <t>ノウギョウ</t>
    </rPh>
    <rPh sb="2" eb="4">
      <t>トウシ</t>
    </rPh>
    <rPh sb="4" eb="6">
      <t>カカク</t>
    </rPh>
    <rPh sb="9" eb="11">
      <t>ケイサン</t>
    </rPh>
    <rPh sb="13" eb="15">
      <t>シュトク</t>
    </rPh>
    <rPh sb="15" eb="17">
      <t>ザイサン</t>
    </rPh>
    <rPh sb="18" eb="20">
      <t>カガク</t>
    </rPh>
    <phoneticPr fontId="2"/>
  </si>
  <si>
    <t>第13表</t>
    <rPh sb="0" eb="1">
      <t>ダイ</t>
    </rPh>
    <rPh sb="3" eb="4">
      <t>ヒョウ</t>
    </rPh>
    <phoneticPr fontId="2"/>
  </si>
  <si>
    <t>１　債務の明細</t>
    <rPh sb="2" eb="4">
      <t>サイム</t>
    </rPh>
    <rPh sb="5" eb="7">
      <t>メイサイ</t>
    </rPh>
    <phoneticPr fontId="2"/>
  </si>
  <si>
    <t>・　　・</t>
    <phoneticPr fontId="2"/>
  </si>
  <si>
    <t>２　葬式費用の明細</t>
    <rPh sb="2" eb="4">
      <t>ソウシキ</t>
    </rPh>
    <rPh sb="4" eb="6">
      <t>ヒヨウ</t>
    </rPh>
    <rPh sb="7" eb="9">
      <t>メイサイ</t>
    </rPh>
    <phoneticPr fontId="2"/>
  </si>
  <si>
    <t>３　債務及び葬式費用の合計金額</t>
    <rPh sb="2" eb="4">
      <t>サイム</t>
    </rPh>
    <rPh sb="4" eb="5">
      <t>オヨ</t>
    </rPh>
    <rPh sb="6" eb="8">
      <t>ソウシキ</t>
    </rPh>
    <rPh sb="8" eb="10">
      <t>ヒヨウ</t>
    </rPh>
    <rPh sb="11" eb="13">
      <t>ゴウケイ</t>
    </rPh>
    <rPh sb="13" eb="15">
      <t>キンガク</t>
    </rPh>
    <phoneticPr fontId="2"/>
  </si>
  <si>
    <t>第14表</t>
    <rPh sb="0" eb="1">
      <t>ダイ</t>
    </rPh>
    <rPh sb="3" eb="4">
      <t>ヒョウ</t>
    </rPh>
    <phoneticPr fontId="2"/>
  </si>
  <si>
    <t>１　純資産価額に加算される暦年課税分の贈与財産価額及び特定贈与財産価額の明細</t>
    <rPh sb="2" eb="5">
      <t>ジュンシサン</t>
    </rPh>
    <rPh sb="5" eb="7">
      <t>カガク</t>
    </rPh>
    <rPh sb="8" eb="10">
      <t>カサン</t>
    </rPh>
    <rPh sb="13" eb="15">
      <t>レキネン</t>
    </rPh>
    <rPh sb="15" eb="17">
      <t>カゼイ</t>
    </rPh>
    <rPh sb="17" eb="18">
      <t>ブン</t>
    </rPh>
    <rPh sb="19" eb="21">
      <t>ゾウヨ</t>
    </rPh>
    <rPh sb="21" eb="23">
      <t>ザイサン</t>
    </rPh>
    <rPh sb="23" eb="25">
      <t>カガク</t>
    </rPh>
    <rPh sb="25" eb="26">
      <t>オヨ</t>
    </rPh>
    <rPh sb="27" eb="29">
      <t>トクテイ</t>
    </rPh>
    <rPh sb="29" eb="31">
      <t>ゾウヨ</t>
    </rPh>
    <rPh sb="31" eb="33">
      <t>ザイサン</t>
    </rPh>
    <rPh sb="33" eb="35">
      <t>カガク</t>
    </rPh>
    <rPh sb="36" eb="38">
      <t>メイサイ</t>
    </rPh>
    <phoneticPr fontId="2"/>
  </si>
  <si>
    <t>受贈配偶者</t>
    <rPh sb="0" eb="2">
      <t>ジュゾウ</t>
    </rPh>
    <rPh sb="2" eb="5">
      <t>ハイグウシャ</t>
    </rPh>
    <phoneticPr fontId="2"/>
  </si>
  <si>
    <t>受贈財産の番号</t>
    <rPh sb="0" eb="2">
      <t>ジュゾウ</t>
    </rPh>
    <rPh sb="2" eb="4">
      <t>ザイサン</t>
    </rPh>
    <rPh sb="5" eb="7">
      <t>バンゴウ</t>
    </rPh>
    <phoneticPr fontId="2"/>
  </si>
  <si>
    <t>２　出資特分の定めない法人などに遺贈した財産の明細</t>
    <rPh sb="2" eb="4">
      <t>シュッシ</t>
    </rPh>
    <rPh sb="4" eb="5">
      <t>トク</t>
    </rPh>
    <rPh sb="5" eb="6">
      <t>ブン</t>
    </rPh>
    <rPh sb="7" eb="8">
      <t>サダ</t>
    </rPh>
    <rPh sb="11" eb="13">
      <t>ホウジン</t>
    </rPh>
    <rPh sb="16" eb="18">
      <t>イゾウ</t>
    </rPh>
    <rPh sb="20" eb="22">
      <t>ザイサン</t>
    </rPh>
    <rPh sb="23" eb="25">
      <t>メイサイ</t>
    </rPh>
    <phoneticPr fontId="2"/>
  </si>
  <si>
    <t>３　特定公益法人などに寄附した相続財産又は特定公益信託のために支出した相続財産の明細</t>
    <rPh sb="2" eb="4">
      <t>トクテイ</t>
    </rPh>
    <rPh sb="4" eb="6">
      <t>コウエキ</t>
    </rPh>
    <rPh sb="6" eb="8">
      <t>ホウジン</t>
    </rPh>
    <rPh sb="11" eb="13">
      <t>キフ</t>
    </rPh>
    <rPh sb="15" eb="17">
      <t>ソウゾク</t>
    </rPh>
    <rPh sb="17" eb="19">
      <t>ザイサン</t>
    </rPh>
    <rPh sb="19" eb="20">
      <t>マタ</t>
    </rPh>
    <rPh sb="21" eb="23">
      <t>トクテイ</t>
    </rPh>
    <rPh sb="23" eb="25">
      <t>コウエキ</t>
    </rPh>
    <rPh sb="25" eb="27">
      <t>シンタク</t>
    </rPh>
    <rPh sb="31" eb="33">
      <t>シシュツ</t>
    </rPh>
    <rPh sb="35" eb="37">
      <t>ソウゾク</t>
    </rPh>
    <rPh sb="37" eb="39">
      <t>ザイサン</t>
    </rPh>
    <rPh sb="40" eb="42">
      <t>メイサイ</t>
    </rPh>
    <phoneticPr fontId="2"/>
  </si>
  <si>
    <t>第15の表</t>
    <rPh sb="0" eb="1">
      <t>ダイ</t>
    </rPh>
    <rPh sb="4" eb="5">
      <t>ヒョウ</t>
    </rPh>
    <phoneticPr fontId="2"/>
  </si>
  <si>
    <t>項目</t>
    <rPh sb="0" eb="2">
      <t>コウモク</t>
    </rPh>
    <phoneticPr fontId="2"/>
  </si>
  <si>
    <t>各人の合計</t>
    <rPh sb="0" eb="1">
      <t>カク</t>
    </rPh>
    <rPh sb="1" eb="2">
      <t>ヒト</t>
    </rPh>
    <rPh sb="3" eb="5">
      <t>ゴウケイ</t>
    </rPh>
    <phoneticPr fontId="2"/>
  </si>
  <si>
    <t>整理番号</t>
    <rPh sb="0" eb="2">
      <t>セイリ</t>
    </rPh>
    <rPh sb="2" eb="4">
      <t>バンゴウ</t>
    </rPh>
    <phoneticPr fontId="2"/>
  </si>
  <si>
    <t>被相続人</t>
    <rPh sb="0" eb="1">
      <t>ヒ</t>
    </rPh>
    <rPh sb="1" eb="3">
      <t>ソウゾク</t>
    </rPh>
    <rPh sb="3" eb="4">
      <t>ニン</t>
    </rPh>
    <phoneticPr fontId="2"/>
  </si>
  <si>
    <t>第15の表（続）</t>
    <rPh sb="0" eb="1">
      <t>ダイ</t>
    </rPh>
    <rPh sb="4" eb="5">
      <t>ヒョウ</t>
    </rPh>
    <rPh sb="6" eb="7">
      <t>ゾク</t>
    </rPh>
    <phoneticPr fontId="2"/>
  </si>
  <si>
    <t>財産を取得した人-11</t>
    <rPh sb="0" eb="2">
      <t>ザイサン</t>
    </rPh>
    <rPh sb="3" eb="5">
      <t>シュトク</t>
    </rPh>
    <rPh sb="7" eb="8">
      <t>ヒト</t>
    </rPh>
    <phoneticPr fontId="2"/>
  </si>
  <si>
    <t>財産を取得した人-12</t>
    <rPh sb="0" eb="2">
      <t>ザイサン</t>
    </rPh>
    <rPh sb="3" eb="5">
      <t>シュトク</t>
    </rPh>
    <rPh sb="7" eb="8">
      <t>ヒト</t>
    </rPh>
    <phoneticPr fontId="2"/>
  </si>
  <si>
    <t>続編の合計</t>
    <rPh sb="0" eb="2">
      <t>ゾクヘン</t>
    </rPh>
    <rPh sb="3" eb="5">
      <t>ゴウケイ</t>
    </rPh>
    <phoneticPr fontId="2"/>
  </si>
  <si>
    <t>法定相続人数</t>
    <rPh sb="0" eb="2">
      <t>ホウテイ</t>
    </rPh>
    <rPh sb="2" eb="4">
      <t>ソウゾク</t>
    </rPh>
    <rPh sb="4" eb="5">
      <t>ニン</t>
    </rPh>
    <rPh sb="5" eb="6">
      <t>スウ</t>
    </rPh>
    <phoneticPr fontId="2"/>
  </si>
  <si>
    <t>被相続人氏名</t>
    <rPh sb="0" eb="1">
      <t>ヒ</t>
    </rPh>
    <rPh sb="1" eb="3">
      <t>ソウゾク</t>
    </rPh>
    <rPh sb="3" eb="4">
      <t>ニン</t>
    </rPh>
    <rPh sb="4" eb="6">
      <t>シメイ</t>
    </rPh>
    <phoneticPr fontId="2"/>
  </si>
  <si>
    <t>住　　　　　　所</t>
    <rPh sb="0" eb="1">
      <t>ジュウ</t>
    </rPh>
    <rPh sb="7" eb="8">
      <t>ショ</t>
    </rPh>
    <phoneticPr fontId="2"/>
  </si>
  <si>
    <t>電　話　番　号</t>
    <rPh sb="0" eb="1">
      <t>デン</t>
    </rPh>
    <rPh sb="2" eb="3">
      <t>ハナシ</t>
    </rPh>
    <rPh sb="4" eb="5">
      <t>バン</t>
    </rPh>
    <rPh sb="6" eb="7">
      <t>ゴウ</t>
    </rPh>
    <phoneticPr fontId="2"/>
  </si>
  <si>
    <t>農業相続人がいる場合</t>
    <rPh sb="0" eb="2">
      <t>ノウギョウ</t>
    </rPh>
    <rPh sb="2" eb="5">
      <t>ソウゾクニン</t>
    </rPh>
    <rPh sb="8" eb="10">
      <t>バアイ</t>
    </rPh>
    <phoneticPr fontId="2"/>
  </si>
  <si>
    <t>第１表の相続税の総額</t>
    <rPh sb="0" eb="1">
      <t>ダイ</t>
    </rPh>
    <rPh sb="2" eb="3">
      <t>ピョウ</t>
    </rPh>
    <rPh sb="4" eb="7">
      <t>ソウゾクゼイ</t>
    </rPh>
    <rPh sb="8" eb="10">
      <t>ソウガク</t>
    </rPh>
    <phoneticPr fontId="2"/>
  </si>
  <si>
    <t>＝</t>
    <phoneticPr fontId="2"/>
  </si>
  <si>
    <t>円</t>
    <rPh sb="0" eb="1">
      <t>エン</t>
    </rPh>
    <phoneticPr fontId="2"/>
  </si>
  <si>
    <t>扶養義務者の氏名</t>
    <rPh sb="0" eb="2">
      <t>フヨウ</t>
    </rPh>
    <rPh sb="2" eb="4">
      <t>ギム</t>
    </rPh>
    <rPh sb="4" eb="5">
      <t>シャ</t>
    </rPh>
    <rPh sb="6" eb="8">
      <t>シメイ</t>
    </rPh>
    <phoneticPr fontId="2"/>
  </si>
  <si>
    <t>一般障害者年齢　</t>
    <rPh sb="0" eb="2">
      <t>イッパン</t>
    </rPh>
    <rPh sb="2" eb="4">
      <t>ショウガイ</t>
    </rPh>
    <rPh sb="4" eb="5">
      <t>シャ</t>
    </rPh>
    <rPh sb="5" eb="7">
      <t>ネンレイ</t>
    </rPh>
    <phoneticPr fontId="2"/>
  </si>
  <si>
    <t>特別障害者年齢　</t>
    <rPh sb="2" eb="4">
      <t>ショウガイ</t>
    </rPh>
    <rPh sb="4" eb="5">
      <t>シャ</t>
    </rPh>
    <rPh sb="5" eb="6">
      <t>トシ</t>
    </rPh>
    <rPh sb="6" eb="7">
      <t>ヨワイ</t>
    </rPh>
    <phoneticPr fontId="2"/>
  </si>
  <si>
    <t>財産を取得した相続人</t>
    <rPh sb="0" eb="2">
      <t>ザイサン</t>
    </rPh>
    <rPh sb="3" eb="5">
      <t>シュトク</t>
    </rPh>
    <rPh sb="7" eb="10">
      <t>ソウゾクニン</t>
    </rPh>
    <phoneticPr fontId="2"/>
  </si>
  <si>
    <t>C</t>
    <phoneticPr fontId="2"/>
  </si>
  <si>
    <t>＄</t>
    <phoneticPr fontId="2"/>
  </si>
  <si>
    <t>遺産の分割状況</t>
    <rPh sb="0" eb="2">
      <t>イサン</t>
    </rPh>
    <rPh sb="3" eb="5">
      <t>ブンカツ</t>
    </rPh>
    <rPh sb="5" eb="7">
      <t>ジョウキョウ</t>
    </rPh>
    <phoneticPr fontId="2"/>
  </si>
  <si>
    <t>全部分割</t>
    <rPh sb="0" eb="2">
      <t>ゼンブ</t>
    </rPh>
    <rPh sb="2" eb="4">
      <t>ブンカツ</t>
    </rPh>
    <phoneticPr fontId="2"/>
  </si>
  <si>
    <t>一部分割</t>
    <rPh sb="0" eb="2">
      <t>イチブ</t>
    </rPh>
    <rPh sb="2" eb="4">
      <t>ブンカツ</t>
    </rPh>
    <phoneticPr fontId="2"/>
  </si>
  <si>
    <t>合           計</t>
    <rPh sb="0" eb="1">
      <t>ゴウ</t>
    </rPh>
    <rPh sb="12" eb="13">
      <t>ケイ</t>
    </rPh>
    <phoneticPr fontId="2"/>
  </si>
  <si>
    <t>取得財産の価額</t>
    <rPh sb="0" eb="2">
      <t>シュトク</t>
    </rPh>
    <rPh sb="2" eb="4">
      <t>ザイサン</t>
    </rPh>
    <rPh sb="5" eb="7">
      <t>カガク</t>
    </rPh>
    <phoneticPr fontId="2"/>
  </si>
  <si>
    <t>これ以降は、契約書、謄本、残高証明、計算書、請求書、領収書等信憑書類に依って記入してください</t>
    <rPh sb="2" eb="4">
      <t>イコウ</t>
    </rPh>
    <rPh sb="6" eb="9">
      <t>ケイヤクショ</t>
    </rPh>
    <rPh sb="10" eb="12">
      <t>トウホン</t>
    </rPh>
    <rPh sb="13" eb="15">
      <t>ザンダカ</t>
    </rPh>
    <rPh sb="15" eb="17">
      <t>ショウメイ</t>
    </rPh>
    <rPh sb="18" eb="21">
      <t>ケイサンショ</t>
    </rPh>
    <rPh sb="22" eb="25">
      <t>セイキュウショ</t>
    </rPh>
    <rPh sb="26" eb="29">
      <t>リョウシュウショ</t>
    </rPh>
    <rPh sb="29" eb="30">
      <t>トウ</t>
    </rPh>
    <rPh sb="30" eb="32">
      <t>シンピョウ</t>
    </rPh>
    <rPh sb="32" eb="34">
      <t>ショルイ</t>
    </rPh>
    <rPh sb="35" eb="36">
      <t>ヨ</t>
    </rPh>
    <rPh sb="38" eb="40">
      <t>キニュウ</t>
    </rPh>
    <phoneticPr fontId="2"/>
  </si>
  <si>
    <t>第11表の内訳書</t>
    <rPh sb="0" eb="1">
      <t>ダイ</t>
    </rPh>
    <rPh sb="3" eb="4">
      <t>ヒョウ</t>
    </rPh>
    <rPh sb="5" eb="7">
      <t>ウチワケ</t>
    </rPh>
    <rPh sb="7" eb="8">
      <t>ショ</t>
    </rPh>
    <phoneticPr fontId="2"/>
  </si>
  <si>
    <t>第11表(総括書)</t>
    <rPh sb="0" eb="1">
      <t>ダイ</t>
    </rPh>
    <rPh sb="3" eb="4">
      <t>ヒョウ</t>
    </rPh>
    <rPh sb="5" eb="7">
      <t>ソウカツ</t>
    </rPh>
    <rPh sb="7" eb="8">
      <t>ショ</t>
    </rPh>
    <phoneticPr fontId="2"/>
  </si>
  <si>
    <t>（各人の合計）</t>
    <rPh sb="1" eb="2">
      <t>カク</t>
    </rPh>
    <rPh sb="2" eb="3">
      <t>ヒト</t>
    </rPh>
    <rPh sb="4" eb="6">
      <t>ゴウケイ</t>
    </rPh>
    <phoneticPr fontId="2"/>
  </si>
  <si>
    <t>贈与を受けた人の氏名</t>
    <rPh sb="0" eb="2">
      <t>ゾウヨ</t>
    </rPh>
    <rPh sb="3" eb="4">
      <t>ウ</t>
    </rPh>
    <rPh sb="6" eb="7">
      <t>ヒト</t>
    </rPh>
    <rPh sb="8" eb="10">
      <t>シメイ</t>
    </rPh>
    <phoneticPr fontId="2"/>
  </si>
  <si>
    <t>第１１・１１の２表の付表１</t>
    <rPh sb="0" eb="1">
      <t>ダイ</t>
    </rPh>
    <rPh sb="8" eb="9">
      <t>ヒョウ</t>
    </rPh>
    <rPh sb="10" eb="12">
      <t>フヒョウ</t>
    </rPh>
    <phoneticPr fontId="2"/>
  </si>
  <si>
    <t>１　特例の適用にあたっての同意</t>
    <rPh sb="2" eb="4">
      <t>トクレイ</t>
    </rPh>
    <rPh sb="5" eb="7">
      <t>テキヨウ</t>
    </rPh>
    <rPh sb="13" eb="15">
      <t>ドウイ</t>
    </rPh>
    <phoneticPr fontId="2"/>
  </si>
  <si>
    <t>特例の対象となる財産を取得したすべての人の氏名</t>
    <rPh sb="0" eb="2">
      <t>トクレイ</t>
    </rPh>
    <rPh sb="3" eb="5">
      <t>タイショウ</t>
    </rPh>
    <rPh sb="8" eb="10">
      <t>ザイサン</t>
    </rPh>
    <rPh sb="11" eb="13">
      <t>シュトク</t>
    </rPh>
    <rPh sb="19" eb="20">
      <t>ヒト</t>
    </rPh>
    <rPh sb="21" eb="23">
      <t>シメイ</t>
    </rPh>
    <phoneticPr fontId="2"/>
  </si>
  <si>
    <t>(1)　小規模宅地等の明細</t>
    <rPh sb="4" eb="7">
      <t>ショウキボ</t>
    </rPh>
    <rPh sb="7" eb="10">
      <t>タクチトウ</t>
    </rPh>
    <rPh sb="11" eb="13">
      <t>メイサイ</t>
    </rPh>
    <phoneticPr fontId="2"/>
  </si>
  <si>
    <t>(2)　特定同族会社株式等である選択特定事業用資産の明細</t>
    <rPh sb="4" eb="6">
      <t>トクテイ</t>
    </rPh>
    <rPh sb="6" eb="8">
      <t>ドウゾク</t>
    </rPh>
    <rPh sb="8" eb="10">
      <t>ガイシャ</t>
    </rPh>
    <rPh sb="10" eb="12">
      <t>カブシキ</t>
    </rPh>
    <rPh sb="12" eb="13">
      <t>トウ</t>
    </rPh>
    <rPh sb="16" eb="18">
      <t>センタク</t>
    </rPh>
    <rPh sb="18" eb="20">
      <t>トクテイ</t>
    </rPh>
    <rPh sb="20" eb="23">
      <t>ジギョウヨウ</t>
    </rPh>
    <rPh sb="23" eb="25">
      <t>シサン</t>
    </rPh>
    <rPh sb="26" eb="28">
      <t>メイサイ</t>
    </rPh>
    <phoneticPr fontId="2"/>
  </si>
  <si>
    <t>(3)　特定森林施業計画対象山林である選択特定事業用資産の明細</t>
    <rPh sb="6" eb="8">
      <t>シンリン</t>
    </rPh>
    <rPh sb="8" eb="10">
      <t>セギョウ</t>
    </rPh>
    <rPh sb="10" eb="12">
      <t>ケイカク</t>
    </rPh>
    <rPh sb="12" eb="14">
      <t>タイショウ</t>
    </rPh>
    <rPh sb="14" eb="16">
      <t>サンリン</t>
    </rPh>
    <phoneticPr fontId="2"/>
  </si>
  <si>
    <t>２　特例の適用を受ける財産の明細</t>
    <rPh sb="2" eb="4">
      <t>トクレイ</t>
    </rPh>
    <rPh sb="5" eb="7">
      <t>テキヨウ</t>
    </rPh>
    <rPh sb="8" eb="9">
      <t>ウ</t>
    </rPh>
    <rPh sb="11" eb="13">
      <t>ザイサン</t>
    </rPh>
    <rPh sb="14" eb="16">
      <t>メイサイ</t>
    </rPh>
    <phoneticPr fontId="2"/>
  </si>
  <si>
    <t>第１１・１１の２表の付表２</t>
    <phoneticPr fontId="2"/>
  </si>
  <si>
    <t>所在地番</t>
    <rPh sb="0" eb="2">
      <t>ショザイ</t>
    </rPh>
    <rPh sb="2" eb="4">
      <t>チバン</t>
    </rPh>
    <phoneticPr fontId="2"/>
  </si>
  <si>
    <t>上下⑧⑨</t>
    <rPh sb="0" eb="2">
      <t>ジョウゲ</t>
    </rPh>
    <phoneticPr fontId="2"/>
  </si>
  <si>
    <t>⑩</t>
    <phoneticPr fontId="2"/>
  </si>
  <si>
    <t>上下⑪⑫⑬</t>
    <rPh sb="0" eb="2">
      <t>ジョウゲ</t>
    </rPh>
    <phoneticPr fontId="2"/>
  </si>
  <si>
    <t>別紙明細</t>
    <rPh sb="0" eb="2">
      <t>ベッシ</t>
    </rPh>
    <rPh sb="2" eb="4">
      <t>メイサイ</t>
    </rPh>
    <phoneticPr fontId="2"/>
  </si>
  <si>
    <t>贈与を受けた人ごとの③の欄の合計額</t>
    <rPh sb="0" eb="2">
      <t>ゾウヨ</t>
    </rPh>
    <rPh sb="3" eb="4">
      <t>ウ</t>
    </rPh>
    <rPh sb="6" eb="7">
      <t>ヒト</t>
    </rPh>
    <rPh sb="12" eb="13">
      <t>ラン</t>
    </rPh>
    <rPh sb="14" eb="16">
      <t>ゴウケイ</t>
    </rPh>
    <rPh sb="16" eb="17">
      <t>ガク</t>
    </rPh>
    <phoneticPr fontId="2"/>
  </si>
  <si>
    <t>(各人の合計)</t>
    <rPh sb="1" eb="3">
      <t>カクジン</t>
    </rPh>
    <rPh sb="4" eb="6">
      <t>ゴウケイ</t>
    </rPh>
    <phoneticPr fontId="2"/>
  </si>
  <si>
    <t>続きの合計</t>
    <rPh sb="0" eb="1">
      <t>ツヅ</t>
    </rPh>
    <rPh sb="3" eb="5">
      <t>ゴウケイ</t>
    </rPh>
    <phoneticPr fontId="2"/>
  </si>
  <si>
    <t>被相続人との続柄</t>
    <rPh sb="0" eb="1">
      <t>ヒ</t>
    </rPh>
    <rPh sb="1" eb="3">
      <t>ソウゾク</t>
    </rPh>
    <rPh sb="3" eb="4">
      <t>ニン</t>
    </rPh>
    <rPh sb="6" eb="7">
      <t>ゾク</t>
    </rPh>
    <rPh sb="7" eb="8">
      <t>ガラ</t>
    </rPh>
    <phoneticPr fontId="2"/>
  </si>
  <si>
    <t>子がいる場合</t>
    <rPh sb="0" eb="1">
      <t>コ</t>
    </rPh>
    <rPh sb="4" eb="6">
      <t>バアイ</t>
    </rPh>
    <phoneticPr fontId="2"/>
  </si>
  <si>
    <t>子がいない場合</t>
    <rPh sb="0" eb="1">
      <t>コ</t>
    </rPh>
    <rPh sb="5" eb="7">
      <t>バアイ</t>
    </rPh>
    <phoneticPr fontId="2"/>
  </si>
  <si>
    <t>子無、父母無の場合</t>
    <rPh sb="0" eb="1">
      <t>コ</t>
    </rPh>
    <rPh sb="3" eb="5">
      <t>フボ</t>
    </rPh>
    <rPh sb="5" eb="6">
      <t>ナシ</t>
    </rPh>
    <rPh sb="7" eb="9">
      <t>バアイ</t>
    </rPh>
    <phoneticPr fontId="2"/>
  </si>
  <si>
    <t>一 般 (子)</t>
    <rPh sb="0" eb="1">
      <t>イチ</t>
    </rPh>
    <rPh sb="2" eb="3">
      <t>パン</t>
    </rPh>
    <rPh sb="5" eb="6">
      <t>コ</t>
    </rPh>
    <phoneticPr fontId="2"/>
  </si>
  <si>
    <t>一  般　(子・親)</t>
    <rPh sb="0" eb="1">
      <t>イチ</t>
    </rPh>
    <rPh sb="3" eb="4">
      <t>パン</t>
    </rPh>
    <rPh sb="6" eb="7">
      <t>コ</t>
    </rPh>
    <rPh sb="8" eb="9">
      <t>オヤ</t>
    </rPh>
    <phoneticPr fontId="2"/>
  </si>
  <si>
    <t>一  般　(子・親)</t>
    <rPh sb="0" eb="1">
      <t>イチ</t>
    </rPh>
    <rPh sb="3" eb="4">
      <t>パン</t>
    </rPh>
    <rPh sb="8" eb="9">
      <t>オヤ</t>
    </rPh>
    <phoneticPr fontId="2"/>
  </si>
  <si>
    <t>一般(子・兄弟姉妹)</t>
    <rPh sb="0" eb="1">
      <t>イチ</t>
    </rPh>
    <rPh sb="1" eb="2">
      <t>パン</t>
    </rPh>
    <rPh sb="5" eb="7">
      <t>キョウダイ</t>
    </rPh>
    <rPh sb="7" eb="9">
      <t>シマイ</t>
    </rPh>
    <phoneticPr fontId="2"/>
  </si>
  <si>
    <t>相続税の総額　　　　8</t>
    <rPh sb="0" eb="3">
      <t>ソウゾクゼイ</t>
    </rPh>
    <rPh sb="4" eb="6">
      <t>ソウガク</t>
    </rPh>
    <phoneticPr fontId="2"/>
  </si>
  <si>
    <t>取得財産の価額　　  　1</t>
    <rPh sb="0" eb="2">
      <t>シュトク</t>
    </rPh>
    <rPh sb="2" eb="4">
      <t>ザイサン</t>
    </rPh>
    <rPh sb="5" eb="7">
      <t>カガク</t>
    </rPh>
    <phoneticPr fontId="2"/>
  </si>
  <si>
    <t>債務・葬式費用の金額　 3</t>
    <phoneticPr fontId="2"/>
  </si>
  <si>
    <t>精算課税贈与財産　　 2</t>
    <rPh sb="0" eb="2">
      <t>セイサン</t>
    </rPh>
    <rPh sb="2" eb="4">
      <t>カゼイ</t>
    </rPh>
    <rPh sb="4" eb="6">
      <t>ゾウヨ</t>
    </rPh>
    <rPh sb="6" eb="8">
      <t>ザイサン</t>
    </rPh>
    <phoneticPr fontId="2"/>
  </si>
  <si>
    <t>純財産価額　　　　    4</t>
    <rPh sb="0" eb="1">
      <t>ジュン</t>
    </rPh>
    <rPh sb="1" eb="3">
      <t>ザイサン</t>
    </rPh>
    <rPh sb="3" eb="5">
      <t>カガク</t>
    </rPh>
    <phoneticPr fontId="2"/>
  </si>
  <si>
    <t>暦年課税贈与財産　 5</t>
    <rPh sb="0" eb="2">
      <t>レキネン</t>
    </rPh>
    <rPh sb="2" eb="4">
      <t>カゼイ</t>
    </rPh>
    <rPh sb="4" eb="6">
      <t>ゾウヨ</t>
    </rPh>
    <rPh sb="6" eb="8">
      <t>ザイサン</t>
    </rPh>
    <phoneticPr fontId="2"/>
  </si>
  <si>
    <t>課　税　価　格　       6</t>
    <rPh sb="0" eb="1">
      <t>カ</t>
    </rPh>
    <rPh sb="2" eb="3">
      <t>ゼイ</t>
    </rPh>
    <rPh sb="4" eb="5">
      <t>アタイ</t>
    </rPh>
    <rPh sb="6" eb="7">
      <t>カク</t>
    </rPh>
    <phoneticPr fontId="2"/>
  </si>
  <si>
    <t>相続税の総額       　7</t>
    <rPh sb="0" eb="3">
      <t>ソウゾクゼイ</t>
    </rPh>
    <rPh sb="4" eb="6">
      <t>ソウガク</t>
    </rPh>
    <phoneticPr fontId="2"/>
  </si>
  <si>
    <t>一般案分割合　　   　8</t>
    <rPh sb="0" eb="2">
      <t>イッパン</t>
    </rPh>
    <rPh sb="2" eb="3">
      <t>アン</t>
    </rPh>
    <rPh sb="3" eb="4">
      <t>ブン</t>
    </rPh>
    <rPh sb="4" eb="6">
      <t>ワリアイ</t>
    </rPh>
    <phoneticPr fontId="2"/>
  </si>
  <si>
    <t>一般算出税額　    　 9</t>
    <rPh sb="2" eb="4">
      <t>サンシュツ</t>
    </rPh>
    <rPh sb="4" eb="6">
      <t>ゼイガク</t>
    </rPh>
    <phoneticPr fontId="2"/>
  </si>
  <si>
    <t>措法70条の6-2適用　10</t>
    <rPh sb="0" eb="1">
      <t>ソ</t>
    </rPh>
    <rPh sb="1" eb="2">
      <t>ホウ</t>
    </rPh>
    <rPh sb="4" eb="5">
      <t>ジョウ</t>
    </rPh>
    <rPh sb="9" eb="11">
      <t>テキヨウ</t>
    </rPh>
    <phoneticPr fontId="2"/>
  </si>
  <si>
    <t>2割加算金額　　　  11</t>
    <rPh sb="1" eb="2">
      <t>ワリ</t>
    </rPh>
    <rPh sb="2" eb="4">
      <t>カサン</t>
    </rPh>
    <rPh sb="4" eb="6">
      <t>キンガク</t>
    </rPh>
    <phoneticPr fontId="2"/>
  </si>
  <si>
    <t>暦年贈与税控除    12</t>
    <rPh sb="0" eb="2">
      <t>レキネン</t>
    </rPh>
    <rPh sb="2" eb="4">
      <t>ゾウヨ</t>
    </rPh>
    <rPh sb="4" eb="5">
      <t>ゼイ</t>
    </rPh>
    <rPh sb="5" eb="7">
      <t>コウジョ</t>
    </rPh>
    <phoneticPr fontId="2"/>
  </si>
  <si>
    <t>配偶者税額軽減　　13</t>
    <rPh sb="0" eb="3">
      <t>ハイグウシャ</t>
    </rPh>
    <rPh sb="3" eb="5">
      <t>ゼイガク</t>
    </rPh>
    <rPh sb="5" eb="7">
      <t>ケイゲン</t>
    </rPh>
    <phoneticPr fontId="2"/>
  </si>
  <si>
    <t>未成年者控除額　　14</t>
    <rPh sb="0" eb="4">
      <t>ミセイネンシャ</t>
    </rPh>
    <rPh sb="4" eb="6">
      <t>コウジョ</t>
    </rPh>
    <rPh sb="6" eb="7">
      <t>ガク</t>
    </rPh>
    <phoneticPr fontId="2"/>
  </si>
  <si>
    <t>障害者控除額　　　 15</t>
    <rPh sb="0" eb="3">
      <t>ショウガイシャ</t>
    </rPh>
    <rPh sb="3" eb="5">
      <t>コウジョ</t>
    </rPh>
    <rPh sb="5" eb="6">
      <t>ガク</t>
    </rPh>
    <phoneticPr fontId="2"/>
  </si>
  <si>
    <t>相次相続控除額　　16</t>
    <rPh sb="0" eb="1">
      <t>ソウ</t>
    </rPh>
    <rPh sb="1" eb="2">
      <t>ツギ</t>
    </rPh>
    <rPh sb="2" eb="4">
      <t>ソウゾク</t>
    </rPh>
    <rPh sb="4" eb="6">
      <t>コウジョ</t>
    </rPh>
    <rPh sb="6" eb="7">
      <t>ガク</t>
    </rPh>
    <phoneticPr fontId="2"/>
  </si>
  <si>
    <t>外国税額控除額　　17</t>
    <rPh sb="0" eb="2">
      <t>ガイコク</t>
    </rPh>
    <rPh sb="2" eb="4">
      <t>ゼイガク</t>
    </rPh>
    <rPh sb="4" eb="6">
      <t>コウジョ</t>
    </rPh>
    <rPh sb="6" eb="7">
      <t>ガク</t>
    </rPh>
    <phoneticPr fontId="2"/>
  </si>
  <si>
    <t>　　　　 計　　　　  　18</t>
    <rPh sb="5" eb="6">
      <t>ケイ</t>
    </rPh>
    <phoneticPr fontId="2"/>
  </si>
  <si>
    <t>差　引　税　額     　19</t>
    <rPh sb="0" eb="1">
      <t>サ</t>
    </rPh>
    <rPh sb="2" eb="3">
      <t>イン</t>
    </rPh>
    <rPh sb="4" eb="5">
      <t>ゼイ</t>
    </rPh>
    <rPh sb="6" eb="7">
      <t>ガク</t>
    </rPh>
    <phoneticPr fontId="2"/>
  </si>
  <si>
    <t>精算贈与税控除　  20</t>
    <rPh sb="0" eb="2">
      <t>セイサン</t>
    </rPh>
    <rPh sb="2" eb="4">
      <t>ゾウヨ</t>
    </rPh>
    <rPh sb="5" eb="7">
      <t>コウジョ</t>
    </rPh>
    <phoneticPr fontId="2"/>
  </si>
  <si>
    <t xml:space="preserve">  小　　計              21</t>
    <rPh sb="2" eb="3">
      <t>コ</t>
    </rPh>
    <rPh sb="5" eb="6">
      <t>ケイ</t>
    </rPh>
    <phoneticPr fontId="2"/>
  </si>
  <si>
    <t>納税猶予税額        22</t>
    <rPh sb="0" eb="2">
      <t>ノウゼイ</t>
    </rPh>
    <rPh sb="2" eb="4">
      <t>ユウヨ</t>
    </rPh>
    <rPh sb="4" eb="6">
      <t>ゼイガク</t>
    </rPh>
    <phoneticPr fontId="2"/>
  </si>
  <si>
    <t>納付すべき税額　　　 23</t>
    <rPh sb="0" eb="2">
      <t>ノウフ</t>
    </rPh>
    <rPh sb="5" eb="7">
      <t>ゼイガク</t>
    </rPh>
    <phoneticPr fontId="2"/>
  </si>
  <si>
    <t>還付される税額      24</t>
    <rPh sb="0" eb="2">
      <t>カンプ</t>
    </rPh>
    <rPh sb="5" eb="7">
      <t>ゼイガク</t>
    </rPh>
    <phoneticPr fontId="2"/>
  </si>
  <si>
    <t>財産を取得した人-13</t>
    <rPh sb="0" eb="2">
      <t>ザイサン</t>
    </rPh>
    <rPh sb="3" eb="5">
      <t>シュトク</t>
    </rPh>
    <rPh sb="7" eb="8">
      <t>ヒト</t>
    </rPh>
    <phoneticPr fontId="2"/>
  </si>
  <si>
    <t>財産を取得した人-14</t>
    <rPh sb="0" eb="2">
      <t>ザイサン</t>
    </rPh>
    <rPh sb="3" eb="5">
      <t>シュトク</t>
    </rPh>
    <rPh sb="7" eb="8">
      <t>ヒト</t>
    </rPh>
    <phoneticPr fontId="2"/>
  </si>
  <si>
    <t>取得した人　7～14</t>
    <rPh sb="0" eb="2">
      <t>シュトク</t>
    </rPh>
    <rPh sb="4" eb="5">
      <t>ヒト</t>
    </rPh>
    <phoneticPr fontId="2"/>
  </si>
  <si>
    <t>相続の年月日</t>
    <rPh sb="0" eb="2">
      <t>ソウゾク</t>
    </rPh>
    <rPh sb="3" eb="6">
      <t>ネンガッピ</t>
    </rPh>
    <phoneticPr fontId="2"/>
  </si>
  <si>
    <t xml:space="preserve"> </t>
    <phoneticPr fontId="2"/>
  </si>
  <si>
    <t>平成22. 3. 1</t>
    <rPh sb="0" eb="2">
      <t>ヘイセイ</t>
    </rPh>
    <phoneticPr fontId="2"/>
  </si>
  <si>
    <t>前の相続の年月日</t>
    <rPh sb="0" eb="1">
      <t>マエ</t>
    </rPh>
    <rPh sb="2" eb="4">
      <t>ソウゾク</t>
    </rPh>
    <rPh sb="5" eb="8">
      <t>ネンガッピ</t>
    </rPh>
    <phoneticPr fontId="2"/>
  </si>
  <si>
    <t>前の相続の年月日　 1</t>
    <rPh sb="0" eb="1">
      <t>マエ</t>
    </rPh>
    <rPh sb="2" eb="4">
      <t>ソウゾク</t>
    </rPh>
    <rPh sb="5" eb="8">
      <t>ネンガッピ</t>
    </rPh>
    <phoneticPr fontId="2"/>
  </si>
  <si>
    <t>今回の相続の年月日  2</t>
    <rPh sb="0" eb="2">
      <t>コンカイ</t>
    </rPh>
    <phoneticPr fontId="2"/>
  </si>
  <si>
    <t>経過期間(1年未満切捨)　3</t>
    <rPh sb="0" eb="2">
      <t>ケイカ</t>
    </rPh>
    <rPh sb="2" eb="4">
      <t>キカン</t>
    </rPh>
    <rPh sb="6" eb="7">
      <t>ネン</t>
    </rPh>
    <rPh sb="7" eb="9">
      <t>ミマン</t>
    </rPh>
    <rPh sb="9" eb="10">
      <t>キ</t>
    </rPh>
    <rPh sb="10" eb="11">
      <t>ス</t>
    </rPh>
    <phoneticPr fontId="2"/>
  </si>
  <si>
    <t xml:space="preserve">    ( 10年 - 3 )       4</t>
    <rPh sb="8" eb="9">
      <t>ネン</t>
    </rPh>
    <phoneticPr fontId="2"/>
  </si>
  <si>
    <t>相次相続控除総額　Ａ</t>
    <rPh sb="0" eb="1">
      <t>ソウ</t>
    </rPh>
    <rPh sb="1" eb="2">
      <t>ツギ</t>
    </rPh>
    <rPh sb="2" eb="4">
      <t>ソウゾク</t>
    </rPh>
    <rPh sb="4" eb="6">
      <t>コウジョ</t>
    </rPh>
    <rPh sb="6" eb="8">
      <t>ソウガク</t>
    </rPh>
    <phoneticPr fontId="2"/>
  </si>
  <si>
    <t>前相続時取得純財産　5</t>
    <rPh sb="0" eb="1">
      <t>ゼン</t>
    </rPh>
    <rPh sb="1" eb="3">
      <t>ソウゾク</t>
    </rPh>
    <rPh sb="3" eb="4">
      <t>ジ</t>
    </rPh>
    <rPh sb="4" eb="6">
      <t>シュトク</t>
    </rPh>
    <rPh sb="6" eb="7">
      <t>ジュン</t>
    </rPh>
    <rPh sb="7" eb="9">
      <t>ザイサン</t>
    </rPh>
    <phoneticPr fontId="2"/>
  </si>
  <si>
    <t>前相続時被相続人相続税　6</t>
    <rPh sb="0" eb="1">
      <t>ゼン</t>
    </rPh>
    <rPh sb="1" eb="3">
      <t>ソウゾク</t>
    </rPh>
    <rPh sb="3" eb="4">
      <t>ジ</t>
    </rPh>
    <rPh sb="4" eb="5">
      <t>ヒ</t>
    </rPh>
    <rPh sb="5" eb="7">
      <t>ソウゾク</t>
    </rPh>
    <rPh sb="7" eb="8">
      <t>ニン</t>
    </rPh>
    <rPh sb="8" eb="11">
      <t>ソウゾクゼイ</t>
    </rPh>
    <phoneticPr fontId="2"/>
  </si>
  <si>
    <t xml:space="preserve">    ( 　5 　-　 6   )      7</t>
    <phoneticPr fontId="2"/>
  </si>
  <si>
    <t>今回全員の純資産価額　　8</t>
    <rPh sb="0" eb="2">
      <t>コンカイ</t>
    </rPh>
    <rPh sb="2" eb="3">
      <t>スベ</t>
    </rPh>
    <rPh sb="3" eb="4">
      <t>イン</t>
    </rPh>
    <rPh sb="5" eb="8">
      <t>ジュンシサン</t>
    </rPh>
    <rPh sb="8" eb="10">
      <t>カガク</t>
    </rPh>
    <phoneticPr fontId="2"/>
  </si>
  <si>
    <t>ｘ</t>
    <phoneticPr fontId="2"/>
  </si>
  <si>
    <t>(最大1)</t>
    <phoneticPr fontId="2"/>
  </si>
  <si>
    <t>相続税の加算金額 　5</t>
    <rPh sb="0" eb="3">
      <t>ソウゾクゼイ</t>
    </rPh>
    <rPh sb="4" eb="6">
      <t>カサン</t>
    </rPh>
    <rPh sb="6" eb="8">
      <t>キンガク</t>
    </rPh>
    <phoneticPr fontId="2"/>
  </si>
  <si>
    <t>精算課税贈与額      2</t>
    <rPh sb="0" eb="2">
      <t>セイサン</t>
    </rPh>
    <rPh sb="2" eb="4">
      <t>カゼイ</t>
    </rPh>
    <rPh sb="4" eb="6">
      <t>ゾウヨ</t>
    </rPh>
    <rPh sb="6" eb="7">
      <t>ガク</t>
    </rPh>
    <phoneticPr fontId="2"/>
  </si>
  <si>
    <t>各人の相続税額　    1</t>
    <rPh sb="0" eb="2">
      <t>カクジン</t>
    </rPh>
    <rPh sb="3" eb="5">
      <t>ソウゾク</t>
    </rPh>
    <rPh sb="5" eb="7">
      <t>ゼイガク</t>
    </rPh>
    <phoneticPr fontId="2"/>
  </si>
  <si>
    <t>相続税課税価格参入分　3</t>
    <rPh sb="0" eb="3">
      <t>ソウゾクゼイ</t>
    </rPh>
    <rPh sb="3" eb="5">
      <t>カゼイ</t>
    </rPh>
    <rPh sb="5" eb="7">
      <t>カカク</t>
    </rPh>
    <rPh sb="7" eb="9">
      <t>サンニュウ</t>
    </rPh>
    <rPh sb="9" eb="10">
      <t>ブン</t>
    </rPh>
    <phoneticPr fontId="2"/>
  </si>
  <si>
    <t>加算の対象でない税額　　  4</t>
    <rPh sb="0" eb="2">
      <t>カサン</t>
    </rPh>
    <rPh sb="3" eb="5">
      <t>タイショウ</t>
    </rPh>
    <rPh sb="8" eb="10">
      <t>ゼイガク</t>
    </rPh>
    <phoneticPr fontId="2"/>
  </si>
  <si>
    <t>前年中暦年贈与額　 1</t>
    <rPh sb="0" eb="2">
      <t>ゼンネン</t>
    </rPh>
    <rPh sb="2" eb="3">
      <t>チュウ</t>
    </rPh>
    <rPh sb="3" eb="5">
      <t>レキネン</t>
    </rPh>
    <rPh sb="5" eb="7">
      <t>ゾウヨ</t>
    </rPh>
    <rPh sb="7" eb="8">
      <t>ガク</t>
    </rPh>
    <phoneticPr fontId="2"/>
  </si>
  <si>
    <t>被相続人からのもの   2</t>
    <rPh sb="0" eb="1">
      <t>ヒ</t>
    </rPh>
    <rPh sb="1" eb="3">
      <t>ソウゾク</t>
    </rPh>
    <rPh sb="3" eb="4">
      <t>ニン</t>
    </rPh>
    <phoneticPr fontId="2"/>
  </si>
  <si>
    <t>その年の贈与税額　 3</t>
    <rPh sb="2" eb="3">
      <t>ネン</t>
    </rPh>
    <rPh sb="4" eb="6">
      <t>ゾウヨ</t>
    </rPh>
    <rPh sb="6" eb="8">
      <t>ゼイガク</t>
    </rPh>
    <phoneticPr fontId="2"/>
  </si>
  <si>
    <t>控除する贈与税額　　 4</t>
    <rPh sb="0" eb="2">
      <t>コウジョ</t>
    </rPh>
    <rPh sb="4" eb="6">
      <t>ゾウヨ</t>
    </rPh>
    <rPh sb="6" eb="8">
      <t>ゼイガク</t>
    </rPh>
    <phoneticPr fontId="2"/>
  </si>
  <si>
    <t>前々年中暦年贈与額   　 5</t>
    <phoneticPr fontId="2"/>
  </si>
  <si>
    <t>被相続人からのもの　 6</t>
    <phoneticPr fontId="2"/>
  </si>
  <si>
    <t>前々々年中暦年贈与額     9</t>
    <phoneticPr fontId="2"/>
  </si>
  <si>
    <t>その年の贈与税額   7</t>
    <phoneticPr fontId="2"/>
  </si>
  <si>
    <t>被相続人からのもの  10</t>
    <phoneticPr fontId="2"/>
  </si>
  <si>
    <t>その年の贈与税額    11</t>
    <phoneticPr fontId="2"/>
  </si>
  <si>
    <t>控除する贈与税額    8</t>
    <phoneticPr fontId="2"/>
  </si>
  <si>
    <t>控除する贈与税額  12</t>
    <phoneticPr fontId="2"/>
  </si>
  <si>
    <t>10とロの少ない金額　ハ</t>
    <rPh sb="5" eb="6">
      <t>スク</t>
    </rPh>
    <rPh sb="8" eb="10">
      <t>キンガク</t>
    </rPh>
    <phoneticPr fontId="2"/>
  </si>
  <si>
    <t>未成年者の氏名</t>
    <rPh sb="0" eb="4">
      <t>ミセイネンシャ</t>
    </rPh>
    <rPh sb="5" eb="7">
      <t>シメイ</t>
    </rPh>
    <phoneticPr fontId="2"/>
  </si>
  <si>
    <t>未成年者控除額      2</t>
    <rPh sb="0" eb="4">
      <t>ミセイネンシャ</t>
    </rPh>
    <rPh sb="4" eb="6">
      <t>コウジョ</t>
    </rPh>
    <rPh sb="6" eb="7">
      <t>ガク</t>
    </rPh>
    <phoneticPr fontId="2"/>
  </si>
  <si>
    <t>年齢(1年未満切捨)　  1</t>
    <rPh sb="0" eb="2">
      <t>ネンレイ</t>
    </rPh>
    <rPh sb="4" eb="5">
      <t>ネン</t>
    </rPh>
    <rPh sb="5" eb="7">
      <t>ミマン</t>
    </rPh>
    <rPh sb="7" eb="8">
      <t>キ</t>
    </rPh>
    <rPh sb="8" eb="9">
      <t>ス</t>
    </rPh>
    <phoneticPr fontId="2"/>
  </si>
  <si>
    <t>未成年者の相続税額　  3</t>
    <rPh sb="5" eb="8">
      <t>ソウゾクゼイ</t>
    </rPh>
    <phoneticPr fontId="2"/>
  </si>
  <si>
    <t>控除しきれない金額　 4</t>
    <rPh sb="0" eb="2">
      <t>コウジョ</t>
    </rPh>
    <rPh sb="7" eb="9">
      <t>キンガク</t>
    </rPh>
    <phoneticPr fontId="2"/>
  </si>
  <si>
    <t>扶養義務者の相続税額　　5</t>
    <rPh sb="6" eb="8">
      <t>ソウゾク</t>
    </rPh>
    <rPh sb="8" eb="10">
      <t>ゼイガク</t>
    </rPh>
    <rPh sb="9" eb="10">
      <t>ガク</t>
    </rPh>
    <phoneticPr fontId="2"/>
  </si>
  <si>
    <t>未成年者控除額 　　6</t>
    <phoneticPr fontId="2"/>
  </si>
  <si>
    <t>障害者の氏名</t>
    <rPh sb="0" eb="3">
      <t>ショウガイシャ</t>
    </rPh>
    <rPh sb="4" eb="6">
      <t>シメイ</t>
    </rPh>
    <phoneticPr fontId="2"/>
  </si>
  <si>
    <t>年齢(1年未満切捨)  　 1</t>
    <phoneticPr fontId="2"/>
  </si>
  <si>
    <t>障害者控除額   　　　2</t>
    <rPh sb="0" eb="3">
      <t>ショウガイシャ</t>
    </rPh>
    <rPh sb="3" eb="5">
      <t>コウジョ</t>
    </rPh>
    <rPh sb="5" eb="6">
      <t>ガク</t>
    </rPh>
    <phoneticPr fontId="2"/>
  </si>
  <si>
    <t>障害者の相続税額 　3</t>
    <rPh sb="0" eb="3">
      <t>ショウガイシャ</t>
    </rPh>
    <rPh sb="4" eb="6">
      <t>ソウゾク</t>
    </rPh>
    <rPh sb="6" eb="8">
      <t>ゼイガク</t>
    </rPh>
    <phoneticPr fontId="2"/>
  </si>
  <si>
    <t>控除しきれない金額    4</t>
    <phoneticPr fontId="2"/>
  </si>
  <si>
    <t>扶養義務者の相続税額     5</t>
    <phoneticPr fontId="2"/>
  </si>
  <si>
    <t>障害者控除額         6</t>
    <rPh sb="0" eb="3">
      <t>ショウガイシャ</t>
    </rPh>
    <rPh sb="3" eb="5">
      <t>コウジョ</t>
    </rPh>
    <rPh sb="5" eb="6">
      <t>ガク</t>
    </rPh>
    <phoneticPr fontId="2"/>
  </si>
  <si>
    <t>１　相次相続控除額の総額の計算</t>
    <rPh sb="2" eb="3">
      <t>ソウ</t>
    </rPh>
    <rPh sb="3" eb="4">
      <t>ツギ</t>
    </rPh>
    <rPh sb="4" eb="6">
      <t>ソウゾク</t>
    </rPh>
    <rPh sb="6" eb="8">
      <t>コウジョ</t>
    </rPh>
    <rPh sb="8" eb="9">
      <t>ガク</t>
    </rPh>
    <rPh sb="10" eb="12">
      <t>ソウガク</t>
    </rPh>
    <rPh sb="13" eb="15">
      <t>ケイサン</t>
    </rPh>
    <phoneticPr fontId="2"/>
  </si>
  <si>
    <t>２　各相続人の相次相続控除額の計算</t>
    <rPh sb="2" eb="6">
      <t>カクソウゾクニン</t>
    </rPh>
    <rPh sb="7" eb="8">
      <t>ソウ</t>
    </rPh>
    <rPh sb="8" eb="9">
      <t>ツギ</t>
    </rPh>
    <rPh sb="9" eb="11">
      <t>ソウゾク</t>
    </rPh>
    <rPh sb="11" eb="13">
      <t>コウジョ</t>
    </rPh>
    <rPh sb="13" eb="14">
      <t>ガク</t>
    </rPh>
    <rPh sb="15" eb="17">
      <t>ケイサン</t>
    </rPh>
    <phoneticPr fontId="2"/>
  </si>
  <si>
    <t>暦年分贈与税額控除計    13</t>
    <rPh sb="0" eb="2">
      <t>レキネン</t>
    </rPh>
    <rPh sb="2" eb="3">
      <t>ブン</t>
    </rPh>
    <rPh sb="3" eb="5">
      <t>ゾウヨ</t>
    </rPh>
    <rPh sb="5" eb="7">
      <t>ゼイガク</t>
    </rPh>
    <rPh sb="7" eb="9">
      <t>コウジョ</t>
    </rPh>
    <rPh sb="9" eb="10">
      <t>ケイ</t>
    </rPh>
    <phoneticPr fontId="2"/>
  </si>
  <si>
    <t>各人の相次相続控除額　13</t>
    <rPh sb="0" eb="2">
      <t>カクジン</t>
    </rPh>
    <rPh sb="3" eb="4">
      <t>ソウ</t>
    </rPh>
    <rPh sb="4" eb="5">
      <t>ツギ</t>
    </rPh>
    <rPh sb="5" eb="7">
      <t>ソウゾク</t>
    </rPh>
    <rPh sb="7" eb="9">
      <t>コウジョ</t>
    </rPh>
    <rPh sb="9" eb="10">
      <t>ガク</t>
    </rPh>
    <phoneticPr fontId="2"/>
  </si>
  <si>
    <t>1の日現在の邦貨換算率　 3</t>
    <rPh sb="2" eb="3">
      <t>ヒ</t>
    </rPh>
    <rPh sb="3" eb="5">
      <t>ゲンザイ</t>
    </rPh>
    <rPh sb="6" eb="8">
      <t>ホウカ</t>
    </rPh>
    <rPh sb="8" eb="10">
      <t>カンサン</t>
    </rPh>
    <rPh sb="10" eb="11">
      <t>リツ</t>
    </rPh>
    <phoneticPr fontId="2"/>
  </si>
  <si>
    <t>邦貨換算税額　　     4</t>
    <rPh sb="0" eb="2">
      <t>ホウカ</t>
    </rPh>
    <rPh sb="2" eb="4">
      <t>カンサン</t>
    </rPh>
    <rPh sb="4" eb="6">
      <t>ゼイガク</t>
    </rPh>
    <phoneticPr fontId="2"/>
  </si>
  <si>
    <t>邦貨換算在外純財産価額　5</t>
    <rPh sb="0" eb="2">
      <t>ホウカ</t>
    </rPh>
    <rPh sb="2" eb="4">
      <t>カンサン</t>
    </rPh>
    <rPh sb="4" eb="6">
      <t>ザイガイ</t>
    </rPh>
    <rPh sb="6" eb="7">
      <t>ジュン</t>
    </rPh>
    <rPh sb="7" eb="9">
      <t>ザイサン</t>
    </rPh>
    <rPh sb="9" eb="11">
      <t>カガク</t>
    </rPh>
    <phoneticPr fontId="2"/>
  </si>
  <si>
    <t>5/取得財産価額　    6</t>
    <rPh sb="2" eb="4">
      <t>シュトク</t>
    </rPh>
    <rPh sb="4" eb="6">
      <t>ザイサン</t>
    </rPh>
    <rPh sb="6" eb="8">
      <t>カガク</t>
    </rPh>
    <phoneticPr fontId="2"/>
  </si>
  <si>
    <t>相次相続控除後税額×6    7</t>
    <rPh sb="0" eb="1">
      <t>ソウ</t>
    </rPh>
    <rPh sb="1" eb="2">
      <t>ツギ</t>
    </rPh>
    <rPh sb="2" eb="4">
      <t>ソウゾク</t>
    </rPh>
    <rPh sb="4" eb="6">
      <t>コウジョ</t>
    </rPh>
    <rPh sb="6" eb="7">
      <t>ゴ</t>
    </rPh>
    <rPh sb="7" eb="9">
      <t>ゼイガク</t>
    </rPh>
    <phoneticPr fontId="2"/>
  </si>
  <si>
    <t>経営承継相続人等</t>
    <rPh sb="0" eb="2">
      <t>ケイエイ</t>
    </rPh>
    <rPh sb="2" eb="4">
      <t>ショウケイ</t>
    </rPh>
    <rPh sb="4" eb="7">
      <t>ソウゾクニン</t>
    </rPh>
    <rPh sb="7" eb="8">
      <t>トウ</t>
    </rPh>
    <phoneticPr fontId="2"/>
  </si>
  <si>
    <t>経営承継相続人</t>
    <rPh sb="0" eb="2">
      <t>ケイエイ</t>
    </rPh>
    <rPh sb="2" eb="4">
      <t>ショウケイ</t>
    </rPh>
    <rPh sb="4" eb="6">
      <t>ソウゾク</t>
    </rPh>
    <rPh sb="6" eb="7">
      <t>ニン</t>
    </rPh>
    <phoneticPr fontId="2"/>
  </si>
  <si>
    <t>第8表の2表</t>
    <phoneticPr fontId="2"/>
  </si>
  <si>
    <t>１　株式等納税猶予の基となる相続税の総額の計算</t>
    <rPh sb="2" eb="5">
      <t>カブシキトウ</t>
    </rPh>
    <rPh sb="5" eb="7">
      <t>ノウゼイ</t>
    </rPh>
    <rPh sb="7" eb="9">
      <t>ユウヨ</t>
    </rPh>
    <rPh sb="10" eb="11">
      <t>モト</t>
    </rPh>
    <rPh sb="14" eb="17">
      <t>ソウゾクゼイ</t>
    </rPh>
    <rPh sb="18" eb="20">
      <t>ソウガク</t>
    </rPh>
    <rPh sb="21" eb="23">
      <t>ケイサン</t>
    </rPh>
    <phoneticPr fontId="2"/>
  </si>
  <si>
    <t>(1)「特定価格に基づく課税遺産総額」等の計算</t>
    <rPh sb="4" eb="6">
      <t>トクテイ</t>
    </rPh>
    <rPh sb="6" eb="8">
      <t>カカク</t>
    </rPh>
    <rPh sb="9" eb="10">
      <t>モト</t>
    </rPh>
    <rPh sb="12" eb="14">
      <t>カゼイ</t>
    </rPh>
    <rPh sb="14" eb="16">
      <t>イサン</t>
    </rPh>
    <rPh sb="16" eb="18">
      <t>ソウガク</t>
    </rPh>
    <rPh sb="19" eb="20">
      <t>トウ</t>
    </rPh>
    <rPh sb="21" eb="23">
      <t>ケイサン</t>
    </rPh>
    <phoneticPr fontId="2"/>
  </si>
  <si>
    <t>(2)「特定価格に基づく相続税の総額」等の計算</t>
    <rPh sb="4" eb="6">
      <t>トクテイ</t>
    </rPh>
    <rPh sb="6" eb="8">
      <t>カカク</t>
    </rPh>
    <rPh sb="9" eb="10">
      <t>モト</t>
    </rPh>
    <rPh sb="12" eb="15">
      <t>ソウゾクゼイ</t>
    </rPh>
    <rPh sb="16" eb="18">
      <t>ソウガク</t>
    </rPh>
    <rPh sb="19" eb="20">
      <t>トウ</t>
    </rPh>
    <rPh sb="21" eb="23">
      <t>ケイサン</t>
    </rPh>
    <phoneticPr fontId="2"/>
  </si>
  <si>
    <t>１　株式等納税猶予税額の計算</t>
    <rPh sb="2" eb="5">
      <t>カブシキトウ</t>
    </rPh>
    <rPh sb="5" eb="7">
      <t>ノウゼイ</t>
    </rPh>
    <rPh sb="7" eb="9">
      <t>ユウヨ</t>
    </rPh>
    <rPh sb="9" eb="11">
      <t>ゼイガク</t>
    </rPh>
    <rPh sb="12" eb="14">
      <t>ケイサン</t>
    </rPh>
    <phoneticPr fontId="2"/>
  </si>
  <si>
    <t>会社名                    1</t>
    <rPh sb="0" eb="3">
      <t>カイシャメイ</t>
    </rPh>
    <phoneticPr fontId="2"/>
  </si>
  <si>
    <t>会社の所轄税務署   2</t>
    <rPh sb="0" eb="2">
      <t>カイシャ</t>
    </rPh>
    <rPh sb="3" eb="5">
      <t>ショカツ</t>
    </rPh>
    <rPh sb="5" eb="8">
      <t>ゼイムショ</t>
    </rPh>
    <phoneticPr fontId="2"/>
  </si>
  <si>
    <t>事業種目                3</t>
    <rPh sb="0" eb="2">
      <t>ジギョウ</t>
    </rPh>
    <rPh sb="2" eb="4">
      <t>シュモク</t>
    </rPh>
    <phoneticPr fontId="2"/>
  </si>
  <si>
    <t>相続開始時の資本金  4</t>
    <rPh sb="0" eb="2">
      <t>ソウゾク</t>
    </rPh>
    <rPh sb="2" eb="4">
      <t>カイシ</t>
    </rPh>
    <rPh sb="4" eb="5">
      <t>ジ</t>
    </rPh>
    <rPh sb="6" eb="9">
      <t>シホンキン</t>
    </rPh>
    <phoneticPr fontId="2"/>
  </si>
  <si>
    <t>相続開始時の資本準備金  5</t>
    <rPh sb="8" eb="10">
      <t>ジュンビ</t>
    </rPh>
    <rPh sb="10" eb="11">
      <t>キン</t>
    </rPh>
    <phoneticPr fontId="2"/>
  </si>
  <si>
    <t>相続開始時従業員数  6</t>
    <rPh sb="0" eb="2">
      <t>ソウゾク</t>
    </rPh>
    <rPh sb="2" eb="4">
      <t>カイシ</t>
    </rPh>
    <rPh sb="4" eb="5">
      <t>ジ</t>
    </rPh>
    <rPh sb="5" eb="8">
      <t>ジュウギョウイン</t>
    </rPh>
    <rPh sb="8" eb="9">
      <t>スウ</t>
    </rPh>
    <phoneticPr fontId="2"/>
  </si>
  <si>
    <t>経済産業大臣認定   8</t>
    <rPh sb="0" eb="2">
      <t>ケイザイ</t>
    </rPh>
    <rPh sb="2" eb="4">
      <t>サンギョウ</t>
    </rPh>
    <rPh sb="4" eb="6">
      <t>ダイジン</t>
    </rPh>
    <rPh sb="6" eb="8">
      <t>ニンテイ</t>
    </rPh>
    <phoneticPr fontId="2"/>
  </si>
  <si>
    <t>経産大臣認定番号　　　     9</t>
    <rPh sb="0" eb="1">
      <t>ヘ</t>
    </rPh>
    <rPh sb="1" eb="2">
      <t>サン</t>
    </rPh>
    <rPh sb="2" eb="4">
      <t>ダイジン</t>
    </rPh>
    <rPh sb="4" eb="6">
      <t>ニンテイ</t>
    </rPh>
    <rPh sb="6" eb="8">
      <t>バンゴウ</t>
    </rPh>
    <phoneticPr fontId="2"/>
  </si>
  <si>
    <t>価　　　　　　額　　(3×4)　　5</t>
    <rPh sb="0" eb="1">
      <t>アタイ</t>
    </rPh>
    <rPh sb="7" eb="8">
      <t>ガク</t>
    </rPh>
    <phoneticPr fontId="2"/>
  </si>
  <si>
    <t>発行済株式総数の2/3　　　1</t>
    <phoneticPr fontId="2"/>
  </si>
  <si>
    <t>承継人の保有する株数　   2</t>
    <rPh sb="0" eb="2">
      <t>ショウケイ</t>
    </rPh>
    <rPh sb="2" eb="3">
      <t>ニン</t>
    </rPh>
    <rPh sb="4" eb="6">
      <t>ホユウ</t>
    </rPh>
    <rPh sb="8" eb="10">
      <t>カブスウ</t>
    </rPh>
    <phoneticPr fontId="2"/>
  </si>
  <si>
    <t>特定価額の20％に相当する金額　　　　　　　　　　　　　　　　　　　　　　　　　　　　　　　　　　　　　　　　　　　　　　　　　　4</t>
    <rPh sb="0" eb="2">
      <t>トクテイ</t>
    </rPh>
    <rPh sb="2" eb="4">
      <t>カガク</t>
    </rPh>
    <rPh sb="9" eb="11">
      <t>ソウトウ</t>
    </rPh>
    <rPh sb="13" eb="15">
      <t>キンガク</t>
    </rPh>
    <phoneticPr fontId="2"/>
  </si>
  <si>
    <t>特定価額に基づく相続税の総額の計算</t>
    <rPh sb="0" eb="2">
      <t>トクテイ</t>
    </rPh>
    <rPh sb="2" eb="4">
      <t>カガク</t>
    </rPh>
    <rPh sb="5" eb="6">
      <t>モト</t>
    </rPh>
    <rPh sb="8" eb="11">
      <t>ソウゾクゼイ</t>
    </rPh>
    <rPh sb="12" eb="14">
      <t>ソウガク</t>
    </rPh>
    <rPh sb="15" eb="17">
      <t>ケイサン</t>
    </rPh>
    <phoneticPr fontId="2"/>
  </si>
  <si>
    <t>特定価額の20％に相当する金額に基づく相続税の総額の計算</t>
    <rPh sb="9" eb="11">
      <t>ソウトウ</t>
    </rPh>
    <rPh sb="13" eb="15">
      <t>キンガク</t>
    </rPh>
    <phoneticPr fontId="2"/>
  </si>
  <si>
    <t>法定相続人　　　　　9</t>
    <rPh sb="0" eb="2">
      <t>ホウテイ</t>
    </rPh>
    <rPh sb="2" eb="4">
      <t>ソウゾク</t>
    </rPh>
    <rPh sb="4" eb="5">
      <t>ニン</t>
    </rPh>
    <phoneticPr fontId="2"/>
  </si>
  <si>
    <t>二重身分等対応財産額  6</t>
  </si>
  <si>
    <t>特殊無対応財産額   6</t>
    <rPh sb="0" eb="2">
      <t>トクシュ</t>
    </rPh>
    <rPh sb="2" eb="3">
      <t>ナシ</t>
    </rPh>
    <rPh sb="3" eb="5">
      <t>タイオウ</t>
    </rPh>
    <rPh sb="5" eb="7">
      <t>ザイサン</t>
    </rPh>
    <rPh sb="7" eb="8">
      <t>ガク</t>
    </rPh>
    <phoneticPr fontId="2"/>
  </si>
  <si>
    <t>法定分対応取得金額   11</t>
    <rPh sb="0" eb="2">
      <t>ホウテイ</t>
    </rPh>
    <rPh sb="2" eb="3">
      <t>ブン</t>
    </rPh>
    <rPh sb="3" eb="5">
      <t>タイオウ</t>
    </rPh>
    <rPh sb="5" eb="7">
      <t>シュトク</t>
    </rPh>
    <rPh sb="7" eb="9">
      <t>キンガク</t>
    </rPh>
    <phoneticPr fontId="2"/>
  </si>
  <si>
    <t>総額対応基税額   12</t>
    <rPh sb="0" eb="2">
      <t>ソウガク</t>
    </rPh>
    <phoneticPr fontId="2"/>
  </si>
  <si>
    <t>相続税の総額12の合計</t>
    <rPh sb="0" eb="3">
      <t>ソウゾクゼイ</t>
    </rPh>
    <rPh sb="4" eb="6">
      <t>ソウガク</t>
    </rPh>
    <rPh sb="9" eb="11">
      <t>ゴウケイ</t>
    </rPh>
    <phoneticPr fontId="2"/>
  </si>
  <si>
    <t>相続税の総額14の合計</t>
    <rPh sb="0" eb="3">
      <t>ソウゾクゼイ</t>
    </rPh>
    <rPh sb="4" eb="6">
      <t>ソウガク</t>
    </rPh>
    <rPh sb="9" eb="11">
      <t>ゴウケイ</t>
    </rPh>
    <phoneticPr fontId="2"/>
  </si>
  <si>
    <r>
      <t>①</t>
    </r>
    <r>
      <rPr>
        <b/>
        <sz val="10"/>
        <rFont val="ＭＳ Ｐゴシック"/>
        <family val="3"/>
        <charset val="128"/>
      </rPr>
      <t>　</t>
    </r>
    <r>
      <rPr>
        <sz val="10"/>
        <rFont val="ＭＳ Ｐゴシック"/>
        <family val="3"/>
        <charset val="128"/>
      </rPr>
      <t xml:space="preserve">経営承継人の第1表・第1表(続)の金額　(18+20-12)                                                                                     </t>
    </r>
    <rPh sb="8" eb="9">
      <t>ダイ</t>
    </rPh>
    <rPh sb="10" eb="11">
      <t>ヒョウ</t>
    </rPh>
    <rPh sb="16" eb="17">
      <t>ゾク</t>
    </rPh>
    <rPh sb="19" eb="21">
      <t>キンガク</t>
    </rPh>
    <phoneticPr fontId="2"/>
  </si>
  <si>
    <r>
      <t>②</t>
    </r>
    <r>
      <rPr>
        <b/>
        <sz val="10"/>
        <rFont val="ＭＳ Ｐゴシック"/>
        <family val="3"/>
        <charset val="128"/>
      </rPr>
      <t>　</t>
    </r>
    <r>
      <rPr>
        <sz val="10"/>
        <rFont val="ＭＳ Ｐゴシック"/>
        <family val="3"/>
        <charset val="128"/>
      </rPr>
      <t>特定価額に基づく経営承継人の算出税額(1の15×1の3/1の(3+5))                                                                　</t>
    </r>
    <rPh sb="2" eb="4">
      <t>トクテイ</t>
    </rPh>
    <rPh sb="4" eb="6">
      <t>カガク</t>
    </rPh>
    <rPh sb="7" eb="8">
      <t>モト</t>
    </rPh>
    <rPh sb="10" eb="12">
      <t>ケイエイ</t>
    </rPh>
    <rPh sb="12" eb="14">
      <t>ショウケイ</t>
    </rPh>
    <rPh sb="14" eb="15">
      <t>ニン</t>
    </rPh>
    <rPh sb="16" eb="18">
      <t>サンシュツ</t>
    </rPh>
    <rPh sb="18" eb="20">
      <t>ゼイガク</t>
    </rPh>
    <phoneticPr fontId="2"/>
  </si>
  <si>
    <t>③　特定価額に基づき相続税額の2割加算が行われる場合の加算金額(2×20％) 　　　　　　　　　　　　　　　　　　　　　　</t>
    <rPh sb="2" eb="4">
      <t>トクテイ</t>
    </rPh>
    <rPh sb="4" eb="6">
      <t>カガク</t>
    </rPh>
    <rPh sb="7" eb="8">
      <t>モト</t>
    </rPh>
    <rPh sb="10" eb="12">
      <t>ソウゾク</t>
    </rPh>
    <rPh sb="12" eb="14">
      <t>ゼイガク</t>
    </rPh>
    <rPh sb="16" eb="17">
      <t>ワリ</t>
    </rPh>
    <rPh sb="17" eb="19">
      <t>カサン</t>
    </rPh>
    <rPh sb="20" eb="21">
      <t>オコナ</t>
    </rPh>
    <rPh sb="24" eb="26">
      <t>バアイ</t>
    </rPh>
    <rPh sb="27" eb="29">
      <t>カサン</t>
    </rPh>
    <rPh sb="29" eb="31">
      <t>キンガク</t>
    </rPh>
    <phoneticPr fontId="2"/>
  </si>
  <si>
    <r>
      <t xml:space="preserve"> </t>
    </r>
    <r>
      <rPr>
        <b/>
        <sz val="10"/>
        <rFont val="ＭＳ Ｐゴシック"/>
        <family val="3"/>
        <charset val="128"/>
      </rPr>
      <t>a　</t>
    </r>
    <r>
      <rPr>
        <sz val="10"/>
        <rFont val="ＭＳ Ｐゴシック"/>
        <family val="3"/>
        <charset val="128"/>
      </rPr>
      <t xml:space="preserve">(2+3-経営承継人第1表・第1表(続)の12)の金額(赤字の場合は0)　　　                                                              </t>
    </r>
    <rPh sb="8" eb="10">
      <t>ケイエイ</t>
    </rPh>
    <rPh sb="10" eb="12">
      <t>ショウケイ</t>
    </rPh>
    <rPh sb="12" eb="13">
      <t>ニン</t>
    </rPh>
    <rPh sb="13" eb="14">
      <t>ダイ</t>
    </rPh>
    <rPh sb="15" eb="16">
      <t>ヒョウ</t>
    </rPh>
    <rPh sb="28" eb="30">
      <t>キンガク</t>
    </rPh>
    <rPh sb="31" eb="33">
      <t>アカジ</t>
    </rPh>
    <rPh sb="34" eb="36">
      <t>バアイ</t>
    </rPh>
    <phoneticPr fontId="2"/>
  </si>
  <si>
    <t>④　特定価額の20％に相当する金額に基づく経営承継人の算出税額(1の16×1の4/1の4+5)　　　　　　　　　　　　　　　　</t>
    <rPh sb="2" eb="4">
      <t>トクテイ</t>
    </rPh>
    <rPh sb="4" eb="6">
      <t>カガク</t>
    </rPh>
    <rPh sb="11" eb="13">
      <t>ソウトウ</t>
    </rPh>
    <rPh sb="15" eb="17">
      <t>キンガク</t>
    </rPh>
    <rPh sb="18" eb="19">
      <t>モト</t>
    </rPh>
    <rPh sb="21" eb="23">
      <t>ケイエイ</t>
    </rPh>
    <rPh sb="23" eb="25">
      <t>ショウケイ</t>
    </rPh>
    <rPh sb="25" eb="26">
      <t>ニン</t>
    </rPh>
    <rPh sb="27" eb="29">
      <t>サンシュツ</t>
    </rPh>
    <rPh sb="29" eb="31">
      <t>ゼイガク</t>
    </rPh>
    <phoneticPr fontId="2"/>
  </si>
  <si>
    <t xml:space="preserve">⑤　特定価額の20％に相当する金額に基づき相続税額の2割加算が行われる場合の加算額(4×20％)  　　　　　　　　   </t>
    <rPh sb="2" eb="4">
      <t>トクテイ</t>
    </rPh>
    <rPh sb="4" eb="6">
      <t>カガク</t>
    </rPh>
    <rPh sb="11" eb="13">
      <t>ソウトウ</t>
    </rPh>
    <rPh sb="15" eb="17">
      <t>キンガク</t>
    </rPh>
    <rPh sb="18" eb="19">
      <t>モト</t>
    </rPh>
    <rPh sb="21" eb="23">
      <t>ソウゾク</t>
    </rPh>
    <rPh sb="23" eb="25">
      <t>ゼイガク</t>
    </rPh>
    <rPh sb="27" eb="28">
      <t>ワリ</t>
    </rPh>
    <rPh sb="28" eb="30">
      <t>カサン</t>
    </rPh>
    <rPh sb="31" eb="32">
      <t>オコナ</t>
    </rPh>
    <rPh sb="35" eb="37">
      <t>バアイ</t>
    </rPh>
    <rPh sb="38" eb="41">
      <t>カサンガク</t>
    </rPh>
    <phoneticPr fontId="2"/>
  </si>
  <si>
    <r>
      <t xml:space="preserve"> </t>
    </r>
    <r>
      <rPr>
        <b/>
        <sz val="10"/>
        <rFont val="ＭＳ Ｐゴシック"/>
        <family val="3"/>
        <charset val="128"/>
      </rPr>
      <t>b　</t>
    </r>
    <r>
      <rPr>
        <sz val="10"/>
        <rFont val="ＭＳ Ｐゴシック"/>
        <family val="3"/>
        <charset val="128"/>
      </rPr>
      <t>(4+5-経営承継人第1表・第1表(続)の12)の金額(赤字の場合は0)　　　　　　　　　　　　　　　　　　　　　                   　</t>
    </r>
    <rPh sb="28" eb="30">
      <t>キンガク</t>
    </rPh>
    <rPh sb="31" eb="33">
      <t>アカジ</t>
    </rPh>
    <rPh sb="34" eb="36">
      <t>バアイ</t>
    </rPh>
    <phoneticPr fontId="2"/>
  </si>
  <si>
    <t>⑥　経営承継人第1表6欄の算出税額(赤字の場合は0)　    　　　　　　　　　　　　　　　　　　　　                      　　　　　 　</t>
    <rPh sb="11" eb="12">
      <t>ラン</t>
    </rPh>
    <rPh sb="13" eb="15">
      <t>サンシュツ</t>
    </rPh>
    <rPh sb="15" eb="17">
      <t>ゼイガク</t>
    </rPh>
    <phoneticPr fontId="2"/>
  </si>
  <si>
    <t>⑦　(1+a-b-6)の金額(赤字の場合は0)　　　　　　　　　　　　　　　　　　　　　　　　　　　　　　　　　　　　　　　　　　　　　　　　　</t>
    <rPh sb="12" eb="14">
      <t>キンガク</t>
    </rPh>
    <phoneticPr fontId="2"/>
  </si>
  <si>
    <t xml:space="preserve">⑧　(a-b-7)の金額(赤字の場合は0)　　　                                                                                                         </t>
    <phoneticPr fontId="2"/>
  </si>
  <si>
    <t>⑨　特例非上場株式等又は特例相続非上場株式等に係る会社が2社以上ある場合の会社ごとの株式等納税猶予額 　　</t>
    <rPh sb="2" eb="4">
      <t>トクレイ</t>
    </rPh>
    <rPh sb="4" eb="5">
      <t>ヒ</t>
    </rPh>
    <rPh sb="5" eb="7">
      <t>ジョウジョウ</t>
    </rPh>
    <rPh sb="7" eb="10">
      <t>カブシキトウ</t>
    </rPh>
    <rPh sb="10" eb="11">
      <t>マタ</t>
    </rPh>
    <rPh sb="12" eb="14">
      <t>トクレイ</t>
    </rPh>
    <rPh sb="14" eb="16">
      <t>ソウゾク</t>
    </rPh>
    <rPh sb="23" eb="24">
      <t>カカ</t>
    </rPh>
    <rPh sb="25" eb="27">
      <t>カイシャ</t>
    </rPh>
    <rPh sb="29" eb="30">
      <t>シャ</t>
    </rPh>
    <rPh sb="30" eb="32">
      <t>イジョウ</t>
    </rPh>
    <rPh sb="34" eb="36">
      <t>バアイ</t>
    </rPh>
    <rPh sb="37" eb="39">
      <t>カイシャ</t>
    </rPh>
    <rPh sb="42" eb="45">
      <t>カブシキトウ</t>
    </rPh>
    <rPh sb="45" eb="47">
      <t>ノウゼイ</t>
    </rPh>
    <rPh sb="47" eb="49">
      <t>ユウヨ</t>
    </rPh>
    <rPh sb="49" eb="50">
      <t>ガク</t>
    </rPh>
    <phoneticPr fontId="2"/>
  </si>
  <si>
    <t>イ　　　　　　　　　　　　　　　　　　　　　　に係る株式等納税猶予額(⑧のイの株式等の価額／1の①(百円未満切捨て)</t>
    <rPh sb="24" eb="25">
      <t>カカ</t>
    </rPh>
    <rPh sb="39" eb="42">
      <t>カブシキトウ</t>
    </rPh>
    <rPh sb="43" eb="45">
      <t>カガク</t>
    </rPh>
    <rPh sb="50" eb="52">
      <t>ヒャクエン</t>
    </rPh>
    <rPh sb="52" eb="54">
      <t>ミマン</t>
    </rPh>
    <rPh sb="54" eb="56">
      <t>キリス</t>
    </rPh>
    <phoneticPr fontId="2"/>
  </si>
  <si>
    <t>ロ　　　　　　　　　　　　　　　　　　　　　　に係る株式等納税猶予額(⑧のロの株式等の価額／1の①(百円未満切捨て)</t>
    <phoneticPr fontId="2"/>
  </si>
  <si>
    <t>⑩株式等納税猶予税額(イ+ロ+ハ)</t>
    <rPh sb="1" eb="4">
      <t>カブシキトウ</t>
    </rPh>
    <rPh sb="4" eb="6">
      <t>ノウゼイ</t>
    </rPh>
    <rPh sb="6" eb="8">
      <t>ユウヨ</t>
    </rPh>
    <rPh sb="8" eb="10">
      <t>ゼイガク</t>
    </rPh>
    <phoneticPr fontId="2"/>
  </si>
  <si>
    <t>ハ　　　　　　　　　　　　　　　　　　　　　に係る株式等納税猶予額(⑧のハの株式等の価額／1の①(百円未満切捨て)</t>
    <phoneticPr fontId="2"/>
  </si>
  <si>
    <t>非上場株式等が2社以上ある場合の内訳</t>
    <rPh sb="16" eb="18">
      <t>ウチワケ</t>
    </rPh>
    <phoneticPr fontId="2"/>
  </si>
  <si>
    <t>会社名</t>
    <rPh sb="0" eb="3">
      <t>カイシャメイ</t>
    </rPh>
    <phoneticPr fontId="2"/>
  </si>
  <si>
    <t>株式等の価額</t>
    <rPh sb="0" eb="3">
      <t>カブシキトウ</t>
    </rPh>
    <rPh sb="4" eb="6">
      <t>カガク</t>
    </rPh>
    <phoneticPr fontId="2"/>
  </si>
  <si>
    <t>イ</t>
    <phoneticPr fontId="2"/>
  </si>
  <si>
    <t>ロ</t>
    <phoneticPr fontId="2"/>
  </si>
  <si>
    <t>一般・特別の区分</t>
    <rPh sb="0" eb="2">
      <t>イッパン</t>
    </rPh>
    <rPh sb="3" eb="5">
      <t>トクベツ</t>
    </rPh>
    <rPh sb="6" eb="8">
      <t>クブン</t>
    </rPh>
    <phoneticPr fontId="2"/>
  </si>
  <si>
    <t>財産／相続人・身分</t>
    <rPh sb="0" eb="1">
      <t>ザイ</t>
    </rPh>
    <rPh sb="1" eb="2">
      <t>サン</t>
    </rPh>
    <rPh sb="3" eb="6">
      <t>ソウゾクニン</t>
    </rPh>
    <rPh sb="7" eb="9">
      <t>ミブン</t>
    </rPh>
    <phoneticPr fontId="2"/>
  </si>
  <si>
    <t>摘　　要　／　相続人身分</t>
    <rPh sb="0" eb="1">
      <t>テキ</t>
    </rPh>
    <rPh sb="3" eb="4">
      <t>ヨウ</t>
    </rPh>
    <rPh sb="7" eb="10">
      <t>ソウゾクニン</t>
    </rPh>
    <rPh sb="10" eb="12">
      <t>ミブン</t>
    </rPh>
    <phoneticPr fontId="2"/>
  </si>
  <si>
    <t>摘　要　／　相続人身分</t>
    <phoneticPr fontId="2"/>
  </si>
  <si>
    <t>二重身分等特殊相続分の総額計算入力(法定相続分)</t>
    <rPh sb="0" eb="2">
      <t>ニジュウ</t>
    </rPh>
    <rPh sb="2" eb="4">
      <t>ミブン</t>
    </rPh>
    <rPh sb="4" eb="5">
      <t>トウ</t>
    </rPh>
    <rPh sb="5" eb="7">
      <t>トクシュ</t>
    </rPh>
    <rPh sb="7" eb="10">
      <t>ソウゾクブン</t>
    </rPh>
    <rPh sb="11" eb="13">
      <t>ソウガク</t>
    </rPh>
    <rPh sb="13" eb="15">
      <t>ケイサン</t>
    </rPh>
    <rPh sb="15" eb="17">
      <t>ニュウリョク</t>
    </rPh>
    <rPh sb="18" eb="20">
      <t>ホウテイ</t>
    </rPh>
    <rPh sb="20" eb="22">
      <t>ソウゾク</t>
    </rPh>
    <rPh sb="22" eb="23">
      <t>ブン</t>
    </rPh>
    <phoneticPr fontId="2"/>
  </si>
  <si>
    <t xml:space="preserve">     相続税の総額の計算書</t>
    <rPh sb="5" eb="8">
      <t>ソウゾクゼイ</t>
    </rPh>
    <rPh sb="9" eb="11">
      <t>ソウガク</t>
    </rPh>
    <rPh sb="12" eb="14">
      <t>ケイサン</t>
    </rPh>
    <rPh sb="14" eb="15">
      <t>ショ</t>
    </rPh>
    <phoneticPr fontId="2"/>
  </si>
  <si>
    <t>　　相続税の申告書</t>
    <rPh sb="2" eb="5">
      <t>ソウゾクゼイ</t>
    </rPh>
    <rPh sb="6" eb="9">
      <t>シンコクショ</t>
    </rPh>
    <phoneticPr fontId="2"/>
  </si>
  <si>
    <t>第4表</t>
  </si>
  <si>
    <t>　　 配偶者の税額軽減の計算書</t>
    <phoneticPr fontId="2"/>
  </si>
  <si>
    <t>課税価格の合計額</t>
    <rPh sb="0" eb="2">
      <t>カゼイ</t>
    </rPh>
    <rPh sb="2" eb="4">
      <t>カカク</t>
    </rPh>
    <rPh sb="5" eb="7">
      <t>ゴウケイ</t>
    </rPh>
    <rPh sb="7" eb="8">
      <t>ガク</t>
    </rPh>
    <phoneticPr fontId="2"/>
  </si>
  <si>
    <t>遺産に係る基礎控除額</t>
    <rPh sb="0" eb="2">
      <t>イサン</t>
    </rPh>
    <rPh sb="3" eb="4">
      <t>カカ</t>
    </rPh>
    <rPh sb="5" eb="7">
      <t>キソ</t>
    </rPh>
    <rPh sb="7" eb="9">
      <t>コウジョ</t>
    </rPh>
    <rPh sb="9" eb="10">
      <t>ガク</t>
    </rPh>
    <phoneticPr fontId="2"/>
  </si>
  <si>
    <t>二重身分等法定分  5</t>
    <rPh sb="0" eb="2">
      <t>ニジュウ</t>
    </rPh>
    <rPh sb="5" eb="7">
      <t>ホウテイ</t>
    </rPh>
    <rPh sb="7" eb="8">
      <t>ブン</t>
    </rPh>
    <phoneticPr fontId="2"/>
  </si>
  <si>
    <t>特殊無(一般)法定分  5</t>
    <rPh sb="4" eb="6">
      <t>イッパン</t>
    </rPh>
    <rPh sb="7" eb="9">
      <t>ホウテイ</t>
    </rPh>
    <rPh sb="9" eb="10">
      <t>ブン</t>
    </rPh>
    <phoneticPr fontId="2"/>
  </si>
  <si>
    <t>税額軽減の限度額  ロ</t>
    <rPh sb="0" eb="2">
      <t>ゼイガク</t>
    </rPh>
    <rPh sb="2" eb="4">
      <t>ケイゲン</t>
    </rPh>
    <rPh sb="5" eb="7">
      <t>ゲンド</t>
    </rPh>
    <rPh sb="7" eb="8">
      <t>ガク</t>
    </rPh>
    <phoneticPr fontId="2"/>
  </si>
  <si>
    <t>控除額 (4と7の内少金額)   8</t>
    <rPh sb="0" eb="2">
      <t>コウジョ</t>
    </rPh>
    <rPh sb="2" eb="3">
      <t>ガク</t>
    </rPh>
    <rPh sb="9" eb="10">
      <t>ウチ</t>
    </rPh>
    <rPh sb="10" eb="11">
      <t>スク</t>
    </rPh>
    <rPh sb="11" eb="13">
      <t>キンガク</t>
    </rPh>
    <phoneticPr fontId="2"/>
  </si>
  <si>
    <t>特殊無(一般)法定分　10</t>
    <rPh sb="0" eb="2">
      <t>トクシュ</t>
    </rPh>
    <rPh sb="2" eb="3">
      <t>ナシ</t>
    </rPh>
    <rPh sb="4" eb="6">
      <t>イッパン</t>
    </rPh>
    <rPh sb="7" eb="9">
      <t>ホウテイ</t>
    </rPh>
    <rPh sb="9" eb="10">
      <t>ブン</t>
    </rPh>
    <phoneticPr fontId="2"/>
  </si>
  <si>
    <t>法定分対応取得金額　12</t>
    <rPh sb="0" eb="2">
      <t>ホウテイ</t>
    </rPh>
    <rPh sb="2" eb="3">
      <t>ブン</t>
    </rPh>
    <rPh sb="3" eb="5">
      <t>タイオウ</t>
    </rPh>
    <rPh sb="5" eb="7">
      <t>シュトク</t>
    </rPh>
    <rPh sb="7" eb="9">
      <t>キンガク</t>
    </rPh>
    <phoneticPr fontId="2"/>
  </si>
  <si>
    <t>総額対応基税額    13</t>
    <phoneticPr fontId="2"/>
  </si>
  <si>
    <t>債務計</t>
    <rPh sb="0" eb="2">
      <t>サイム</t>
    </rPh>
    <rPh sb="2" eb="3">
      <t>ケイ</t>
    </rPh>
    <phoneticPr fontId="2"/>
  </si>
  <si>
    <t>葬式費用計</t>
    <rPh sb="0" eb="2">
      <t>ソウシキ</t>
    </rPh>
    <rPh sb="2" eb="4">
      <t>ヒヨウ</t>
    </rPh>
    <rPh sb="4" eb="5">
      <t>ケイ</t>
    </rPh>
    <phoneticPr fontId="2"/>
  </si>
  <si>
    <t>負担の不確定な債務　2</t>
    <rPh sb="3" eb="4">
      <t>フ</t>
    </rPh>
    <phoneticPr fontId="2"/>
  </si>
  <si>
    <t>負担の確定した債務　 1</t>
    <rPh sb="0" eb="2">
      <t>フタン</t>
    </rPh>
    <rPh sb="3" eb="5">
      <t>カクテイ</t>
    </rPh>
    <rPh sb="7" eb="9">
      <t>サイム</t>
    </rPh>
    <phoneticPr fontId="2"/>
  </si>
  <si>
    <t>負担の確定した債務　 3</t>
    <rPh sb="0" eb="2">
      <t>フタン</t>
    </rPh>
    <rPh sb="3" eb="5">
      <t>カクテイ</t>
    </rPh>
    <rPh sb="7" eb="9">
      <t>サイム</t>
    </rPh>
    <phoneticPr fontId="2"/>
  </si>
  <si>
    <t>負担の不確定な債務　4</t>
    <rPh sb="3" eb="4">
      <t>フ</t>
    </rPh>
    <phoneticPr fontId="2"/>
  </si>
  <si>
    <t>法定相続分 　　　　10</t>
    <rPh sb="0" eb="2">
      <t>ホウテイ</t>
    </rPh>
    <rPh sb="2" eb="4">
      <t>ソウゾク</t>
    </rPh>
    <rPh sb="4" eb="5">
      <t>ブン</t>
    </rPh>
    <phoneticPr fontId="2"/>
  </si>
  <si>
    <t>兄弟姉妹になる場合</t>
    <rPh sb="0" eb="2">
      <t>キョウダイ</t>
    </rPh>
    <rPh sb="2" eb="4">
      <t>シマイ</t>
    </rPh>
    <rPh sb="7" eb="9">
      <t>バアイ</t>
    </rPh>
    <phoneticPr fontId="2"/>
  </si>
  <si>
    <t>子が無く父母の場合</t>
    <rPh sb="0" eb="1">
      <t>コ</t>
    </rPh>
    <rPh sb="2" eb="3">
      <t>ナ</t>
    </rPh>
    <rPh sb="4" eb="6">
      <t>フボ</t>
    </rPh>
    <rPh sb="7" eb="9">
      <t>バアイ</t>
    </rPh>
    <phoneticPr fontId="2"/>
  </si>
  <si>
    <t>　　　　　　 田　　　　　　 1</t>
    <rPh sb="7" eb="8">
      <t>タ</t>
    </rPh>
    <phoneticPr fontId="2"/>
  </si>
  <si>
    <t>　　　　　　 畑　　　　　　 2</t>
    <rPh sb="7" eb="8">
      <t>ハタ</t>
    </rPh>
    <phoneticPr fontId="2"/>
  </si>
  <si>
    <t>　宅　　　　　　　　　地　 3</t>
    <rPh sb="1" eb="2">
      <t>タク</t>
    </rPh>
    <rPh sb="11" eb="12">
      <t>チ</t>
    </rPh>
    <phoneticPr fontId="2"/>
  </si>
  <si>
    <t>　山　　　　　　　　　林　 4</t>
    <rPh sb="1" eb="2">
      <t>ヤマ</t>
    </rPh>
    <rPh sb="11" eb="12">
      <t>ハヤシ</t>
    </rPh>
    <phoneticPr fontId="2"/>
  </si>
  <si>
    <t xml:space="preserve">  そ の 他 の 土 地　  5</t>
    <rPh sb="6" eb="7">
      <t>タ</t>
    </rPh>
    <rPh sb="10" eb="11">
      <t>ド</t>
    </rPh>
    <rPh sb="12" eb="13">
      <t>チ</t>
    </rPh>
    <phoneticPr fontId="2"/>
  </si>
  <si>
    <t>　　　　 　計　　　　 　 6</t>
    <rPh sb="6" eb="7">
      <t>ケイ</t>
    </rPh>
    <phoneticPr fontId="2"/>
  </si>
  <si>
    <t>6の内特例農地通常価額　 7</t>
    <rPh sb="2" eb="3">
      <t>ウチ</t>
    </rPh>
    <rPh sb="3" eb="5">
      <t>トクレイ</t>
    </rPh>
    <rPh sb="5" eb="7">
      <t>ノウチ</t>
    </rPh>
    <rPh sb="6" eb="7">
      <t>チ</t>
    </rPh>
    <rPh sb="7" eb="9">
      <t>ツウジョウ</t>
    </rPh>
    <rPh sb="9" eb="11">
      <t>カガク</t>
    </rPh>
    <phoneticPr fontId="2"/>
  </si>
  <si>
    <t>農業投資価格の価額　 　8</t>
    <rPh sb="0" eb="2">
      <t>ノウギョウ</t>
    </rPh>
    <rPh sb="2" eb="4">
      <t>トウシ</t>
    </rPh>
    <rPh sb="4" eb="6">
      <t>カカク</t>
    </rPh>
    <rPh sb="7" eb="9">
      <t>カガク</t>
    </rPh>
    <phoneticPr fontId="2"/>
  </si>
  <si>
    <t xml:space="preserve"> 家　　屋 ・ 構 築 物　 9</t>
    <rPh sb="1" eb="2">
      <t>イエ</t>
    </rPh>
    <rPh sb="4" eb="5">
      <t>ヤ</t>
    </rPh>
    <rPh sb="8" eb="9">
      <t>カマエ</t>
    </rPh>
    <rPh sb="10" eb="11">
      <t>チク</t>
    </rPh>
    <rPh sb="12" eb="13">
      <t>モノ</t>
    </rPh>
    <phoneticPr fontId="2"/>
  </si>
  <si>
    <t xml:space="preserve"> 事業用機械等償却資産　10</t>
    <rPh sb="1" eb="3">
      <t>ジギョウ</t>
    </rPh>
    <rPh sb="3" eb="4">
      <t>ヨウ</t>
    </rPh>
    <rPh sb="4" eb="6">
      <t>キカイ</t>
    </rPh>
    <rPh sb="6" eb="7">
      <t>トウ</t>
    </rPh>
    <rPh sb="7" eb="9">
      <t>ショウキャク</t>
    </rPh>
    <rPh sb="9" eb="11">
      <t>シサン</t>
    </rPh>
    <phoneticPr fontId="2"/>
  </si>
  <si>
    <t xml:space="preserve"> 事業用商品製品等　 11</t>
    <rPh sb="4" eb="6">
      <t>ショウヒン</t>
    </rPh>
    <rPh sb="6" eb="9">
      <t>セイヒントウ</t>
    </rPh>
    <phoneticPr fontId="2"/>
  </si>
  <si>
    <t xml:space="preserve"> 事 業 用 売 掛 金　  12</t>
    <rPh sb="7" eb="8">
      <t>バイ</t>
    </rPh>
    <rPh sb="9" eb="10">
      <t>カカリ</t>
    </rPh>
    <rPh sb="11" eb="12">
      <t>キン</t>
    </rPh>
    <phoneticPr fontId="2"/>
  </si>
  <si>
    <t xml:space="preserve"> 事業用その他財産　 13</t>
    <rPh sb="6" eb="7">
      <t>タ</t>
    </rPh>
    <rPh sb="7" eb="9">
      <t>ザイサン</t>
    </rPh>
    <phoneticPr fontId="2"/>
  </si>
  <si>
    <t>　　　　 　  計　　　　 　 14</t>
    <phoneticPr fontId="2"/>
  </si>
  <si>
    <t>特定同族株式(配当還元)　15</t>
    <rPh sb="0" eb="2">
      <t>トクテイ</t>
    </rPh>
    <rPh sb="2" eb="4">
      <t>ドウゾク</t>
    </rPh>
    <rPh sb="4" eb="6">
      <t>カブシキ</t>
    </rPh>
    <rPh sb="7" eb="9">
      <t>ハイトウ</t>
    </rPh>
    <rPh sb="9" eb="11">
      <t>カンゲン</t>
    </rPh>
    <phoneticPr fontId="2"/>
  </si>
  <si>
    <t>特定同族株式(その他)　16</t>
    <rPh sb="9" eb="10">
      <t>タ</t>
    </rPh>
    <phoneticPr fontId="2"/>
  </si>
  <si>
    <t xml:space="preserve"> 15,16以外の株式、出資　 17</t>
    <rPh sb="6" eb="8">
      <t>イガイ</t>
    </rPh>
    <rPh sb="9" eb="11">
      <t>カブシキ</t>
    </rPh>
    <rPh sb="12" eb="14">
      <t>シュッシ</t>
    </rPh>
    <phoneticPr fontId="2"/>
  </si>
  <si>
    <t>　公　債 、 社  債　　　18</t>
    <rPh sb="1" eb="2">
      <t>コウ</t>
    </rPh>
    <rPh sb="3" eb="4">
      <t>サイ</t>
    </rPh>
    <rPh sb="7" eb="8">
      <t>シャ</t>
    </rPh>
    <rPh sb="10" eb="11">
      <t>サイ</t>
    </rPh>
    <phoneticPr fontId="2"/>
  </si>
  <si>
    <t>証券投信、貸付信託証券　19</t>
    <rPh sb="0" eb="2">
      <t>ショウケン</t>
    </rPh>
    <rPh sb="2" eb="4">
      <t>トウシン</t>
    </rPh>
    <rPh sb="5" eb="7">
      <t>カシツケ</t>
    </rPh>
    <rPh sb="7" eb="9">
      <t>シンタク</t>
    </rPh>
    <rPh sb="9" eb="11">
      <t>ショウケン</t>
    </rPh>
    <phoneticPr fontId="2"/>
  </si>
  <si>
    <t xml:space="preserve"> 現 金 ・預 貯 金 等　21</t>
    <rPh sb="1" eb="2">
      <t>ゲン</t>
    </rPh>
    <rPh sb="3" eb="4">
      <t>キン</t>
    </rPh>
    <rPh sb="6" eb="7">
      <t>アズカリ</t>
    </rPh>
    <rPh sb="8" eb="9">
      <t>チョ</t>
    </rPh>
    <rPh sb="10" eb="11">
      <t>キン</t>
    </rPh>
    <rPh sb="12" eb="13">
      <t>トウ</t>
    </rPh>
    <phoneticPr fontId="2"/>
  </si>
  <si>
    <t xml:space="preserve"> 家 庭 用 財 産　    22</t>
    <rPh sb="1" eb="2">
      <t>ケ</t>
    </rPh>
    <rPh sb="3" eb="4">
      <t>ニワ</t>
    </rPh>
    <rPh sb="5" eb="6">
      <t>ヨウ</t>
    </rPh>
    <rPh sb="7" eb="8">
      <t>ザイ</t>
    </rPh>
    <rPh sb="9" eb="10">
      <t>サン</t>
    </rPh>
    <phoneticPr fontId="2"/>
  </si>
  <si>
    <t xml:space="preserve"> 生 命 保 険 金 等　　23</t>
    <rPh sb="1" eb="2">
      <t>ショウ</t>
    </rPh>
    <rPh sb="3" eb="4">
      <t>イノチ</t>
    </rPh>
    <rPh sb="5" eb="6">
      <t>タモツ</t>
    </rPh>
    <rPh sb="7" eb="8">
      <t>ケン</t>
    </rPh>
    <rPh sb="9" eb="10">
      <t>キン</t>
    </rPh>
    <rPh sb="11" eb="12">
      <t>トウ</t>
    </rPh>
    <phoneticPr fontId="2"/>
  </si>
  <si>
    <t xml:space="preserve"> 退 職 手 当 金 等　　24</t>
    <rPh sb="1" eb="2">
      <t>タイ</t>
    </rPh>
    <rPh sb="3" eb="4">
      <t>ショク</t>
    </rPh>
    <rPh sb="5" eb="6">
      <t>テ</t>
    </rPh>
    <rPh sb="7" eb="8">
      <t>トウ</t>
    </rPh>
    <rPh sb="9" eb="10">
      <t>キン</t>
    </rPh>
    <phoneticPr fontId="2"/>
  </si>
  <si>
    <t xml:space="preserve"> そ　　　　の　　　　他　26</t>
    <rPh sb="11" eb="12">
      <t>タ</t>
    </rPh>
    <phoneticPr fontId="2"/>
  </si>
  <si>
    <t xml:space="preserve"> 立　　　　　　　　　木   25</t>
    <rPh sb="1" eb="2">
      <t>リツ</t>
    </rPh>
    <rPh sb="11" eb="12">
      <t>キ</t>
    </rPh>
    <phoneticPr fontId="2"/>
  </si>
  <si>
    <t>　　　　 　  計　　　　 　 20</t>
    <phoneticPr fontId="2"/>
  </si>
  <si>
    <t>　　　　 　  計　　　　 　 27</t>
    <phoneticPr fontId="2"/>
  </si>
  <si>
    <t xml:space="preserve"> 合　　　　　　　　　 計　28</t>
    <rPh sb="1" eb="2">
      <t>ゴウ</t>
    </rPh>
    <rPh sb="12" eb="13">
      <t>ケイ</t>
    </rPh>
    <phoneticPr fontId="2"/>
  </si>
  <si>
    <t xml:space="preserve"> 精算課税適用財産価額   29</t>
    <rPh sb="1" eb="3">
      <t>セイサン</t>
    </rPh>
    <rPh sb="3" eb="5">
      <t>カゼイ</t>
    </rPh>
    <rPh sb="5" eb="7">
      <t>テキヨウ</t>
    </rPh>
    <rPh sb="7" eb="9">
      <t>ザイサン</t>
    </rPh>
    <rPh sb="9" eb="11">
      <t>カガク</t>
    </rPh>
    <phoneticPr fontId="2"/>
  </si>
  <si>
    <t>不 動 産 等 の 価 額 30</t>
    <rPh sb="0" eb="1">
      <t>フ</t>
    </rPh>
    <rPh sb="2" eb="3">
      <t>ドウ</t>
    </rPh>
    <rPh sb="4" eb="5">
      <t>サン</t>
    </rPh>
    <rPh sb="6" eb="7">
      <t>トウ</t>
    </rPh>
    <rPh sb="10" eb="11">
      <t>アタイ</t>
    </rPh>
    <rPh sb="12" eb="13">
      <t>ガク</t>
    </rPh>
    <phoneticPr fontId="2"/>
  </si>
  <si>
    <t>16の猶予株式の80％の額 31</t>
    <rPh sb="3" eb="5">
      <t>ユウヨ</t>
    </rPh>
    <rPh sb="5" eb="7">
      <t>カブシキ</t>
    </rPh>
    <rPh sb="12" eb="13">
      <t>ガク</t>
    </rPh>
    <phoneticPr fontId="2"/>
  </si>
  <si>
    <t>17の猶予株式の80％の額 32</t>
    <phoneticPr fontId="2"/>
  </si>
  <si>
    <t xml:space="preserve"> 債　　　　　　　　　 務  33</t>
    <rPh sb="1" eb="2">
      <t>サイ</t>
    </rPh>
    <rPh sb="12" eb="13">
      <t>ツトム</t>
    </rPh>
    <phoneticPr fontId="2"/>
  </si>
  <si>
    <t xml:space="preserve"> 葬　  式　  費　  用　 34</t>
    <rPh sb="1" eb="2">
      <t>ソウ</t>
    </rPh>
    <rPh sb="5" eb="6">
      <t>シキ</t>
    </rPh>
    <rPh sb="9" eb="10">
      <t>ヒ</t>
    </rPh>
    <rPh sb="13" eb="14">
      <t>ヨウ</t>
    </rPh>
    <phoneticPr fontId="2"/>
  </si>
  <si>
    <t xml:space="preserve"> 　債　 務　 合　 計　  35</t>
    <rPh sb="2" eb="3">
      <t>サイ</t>
    </rPh>
    <rPh sb="5" eb="6">
      <t>ツトム</t>
    </rPh>
    <rPh sb="8" eb="9">
      <t>ゴウ</t>
    </rPh>
    <rPh sb="11" eb="12">
      <t>ケイ</t>
    </rPh>
    <phoneticPr fontId="2"/>
  </si>
  <si>
    <t xml:space="preserve">  差 引 純 財 産 価 額　 36</t>
    <rPh sb="2" eb="3">
      <t>サ</t>
    </rPh>
    <rPh sb="4" eb="5">
      <t>イン</t>
    </rPh>
    <rPh sb="6" eb="7">
      <t>ジュン</t>
    </rPh>
    <rPh sb="8" eb="9">
      <t>ザイ</t>
    </rPh>
    <rPh sb="10" eb="11">
      <t>サン</t>
    </rPh>
    <rPh sb="12" eb="13">
      <t>アタイ</t>
    </rPh>
    <rPh sb="14" eb="15">
      <t>ガク</t>
    </rPh>
    <phoneticPr fontId="2"/>
  </si>
  <si>
    <t xml:space="preserve"> 加算暦年贈与財産価額　37</t>
    <rPh sb="1" eb="3">
      <t>カサン</t>
    </rPh>
    <rPh sb="3" eb="5">
      <t>レキネン</t>
    </rPh>
    <rPh sb="5" eb="7">
      <t>ゾウヨ</t>
    </rPh>
    <rPh sb="7" eb="9">
      <t>ザイサン</t>
    </rPh>
    <rPh sb="9" eb="11">
      <t>カガク</t>
    </rPh>
    <phoneticPr fontId="2"/>
  </si>
  <si>
    <t xml:space="preserve"> 課　 税　 価　 格　 38</t>
    <rPh sb="1" eb="2">
      <t>カ</t>
    </rPh>
    <rPh sb="4" eb="5">
      <t>ゼイ</t>
    </rPh>
    <rPh sb="7" eb="8">
      <t>アタイ</t>
    </rPh>
    <rPh sb="10" eb="11">
      <t>カク</t>
    </rPh>
    <phoneticPr fontId="2"/>
  </si>
  <si>
    <t xml:space="preserve">  千 円 未 満 切 捨</t>
    <rPh sb="2" eb="3">
      <t>セン</t>
    </rPh>
    <rPh sb="4" eb="5">
      <t>エン</t>
    </rPh>
    <rPh sb="6" eb="7">
      <t>ミ</t>
    </rPh>
    <rPh sb="8" eb="9">
      <t>マン</t>
    </rPh>
    <rPh sb="10" eb="11">
      <t>キ</t>
    </rPh>
    <rPh sb="12" eb="13">
      <t>ス</t>
    </rPh>
    <phoneticPr fontId="2"/>
  </si>
  <si>
    <t>田</t>
    <rPh sb="0" eb="1">
      <t>タ</t>
    </rPh>
    <phoneticPr fontId="2"/>
  </si>
  <si>
    <t>畑その他農地</t>
    <rPh sb="0" eb="1">
      <t>ハタ</t>
    </rPh>
    <rPh sb="3" eb="4">
      <t>タ</t>
    </rPh>
    <rPh sb="4" eb="6">
      <t>ノウチ</t>
    </rPh>
    <phoneticPr fontId="2"/>
  </si>
  <si>
    <t>山林</t>
    <rPh sb="0" eb="2">
      <t>サンリン</t>
    </rPh>
    <phoneticPr fontId="2"/>
  </si>
  <si>
    <t xml:space="preserve"> 代　　償　　財　　産</t>
    <rPh sb="1" eb="2">
      <t>ダイ</t>
    </rPh>
    <rPh sb="4" eb="5">
      <t>ショウ</t>
    </rPh>
    <rPh sb="7" eb="8">
      <t>ザイ</t>
    </rPh>
    <rPh sb="10" eb="11">
      <t>サン</t>
    </rPh>
    <phoneticPr fontId="2"/>
  </si>
  <si>
    <t>D欄</t>
    <rPh sb="1" eb="2">
      <t>ラン</t>
    </rPh>
    <phoneticPr fontId="2"/>
  </si>
  <si>
    <t>E欄</t>
    <rPh sb="1" eb="2">
      <t>ラン</t>
    </rPh>
    <phoneticPr fontId="2"/>
  </si>
  <si>
    <t>F欄</t>
    <rPh sb="1" eb="2">
      <t>ラン</t>
    </rPh>
    <phoneticPr fontId="2"/>
  </si>
  <si>
    <t>G欄</t>
    <rPh sb="1" eb="2">
      <t>ラン</t>
    </rPh>
    <phoneticPr fontId="2"/>
  </si>
  <si>
    <t>H欄</t>
    <rPh sb="1" eb="2">
      <t>ラン</t>
    </rPh>
    <phoneticPr fontId="2"/>
  </si>
  <si>
    <t>I欄</t>
    <rPh sb="1" eb="2">
      <t>ラン</t>
    </rPh>
    <phoneticPr fontId="2"/>
  </si>
  <si>
    <t>J欄</t>
    <rPh sb="1" eb="2">
      <t>ラン</t>
    </rPh>
    <phoneticPr fontId="2"/>
  </si>
  <si>
    <t>K欄</t>
    <rPh sb="1" eb="2">
      <t>ラン</t>
    </rPh>
    <phoneticPr fontId="2"/>
  </si>
  <si>
    <t>L欄</t>
    <rPh sb="1" eb="2">
      <t>ラン</t>
    </rPh>
    <phoneticPr fontId="2"/>
  </si>
  <si>
    <t>M欄</t>
    <rPh sb="1" eb="2">
      <t>ラン</t>
    </rPh>
    <phoneticPr fontId="2"/>
  </si>
  <si>
    <t>N欄</t>
    <rPh sb="1" eb="2">
      <t>ラン</t>
    </rPh>
    <phoneticPr fontId="2"/>
  </si>
  <si>
    <t>O欄</t>
    <rPh sb="1" eb="2">
      <t>ラン</t>
    </rPh>
    <phoneticPr fontId="2"/>
  </si>
  <si>
    <t>P欄</t>
    <rPh sb="1" eb="2">
      <t>ラン</t>
    </rPh>
    <phoneticPr fontId="2"/>
  </si>
  <si>
    <t>Q欄</t>
    <rPh sb="1" eb="2">
      <t>ラン</t>
    </rPh>
    <phoneticPr fontId="2"/>
  </si>
  <si>
    <t>承継者20％加算税額</t>
    <rPh sb="0" eb="2">
      <t>ショウケイ</t>
    </rPh>
    <rPh sb="2" eb="3">
      <t>シャ</t>
    </rPh>
    <rPh sb="6" eb="8">
      <t>カサン</t>
    </rPh>
    <rPh sb="8" eb="10">
      <t>ゼイガク</t>
    </rPh>
    <phoneticPr fontId="2"/>
  </si>
  <si>
    <t>承継者80％猶予税額</t>
    <rPh sb="0" eb="2">
      <t>ショウケイ</t>
    </rPh>
    <rPh sb="2" eb="3">
      <t>シャ</t>
    </rPh>
    <rPh sb="6" eb="8">
      <t>ユウヨ</t>
    </rPh>
    <rPh sb="8" eb="9">
      <t>ゼイ</t>
    </rPh>
    <rPh sb="9" eb="10">
      <t>ガク</t>
    </rPh>
    <phoneticPr fontId="2"/>
  </si>
  <si>
    <t>農業相続人取得財産　1</t>
    <rPh sb="0" eb="2">
      <t>ノウギョウ</t>
    </rPh>
    <rPh sb="2" eb="5">
      <t>ソウゾクニン</t>
    </rPh>
    <rPh sb="5" eb="7">
      <t>シュトク</t>
    </rPh>
    <rPh sb="7" eb="9">
      <t>ザイサン</t>
    </rPh>
    <phoneticPr fontId="2"/>
  </si>
  <si>
    <t>その他相続人取得財産　2</t>
    <rPh sb="2" eb="3">
      <t>タ</t>
    </rPh>
    <phoneticPr fontId="2"/>
  </si>
  <si>
    <t>配偶者以外農業相続人</t>
    <rPh sb="0" eb="3">
      <t>ハイグウシャ</t>
    </rPh>
    <rPh sb="3" eb="5">
      <t>イガイ</t>
    </rPh>
    <rPh sb="5" eb="7">
      <t>ノウギョウ</t>
    </rPh>
    <rPh sb="7" eb="10">
      <t>ソウゾクニン</t>
    </rPh>
    <phoneticPr fontId="2"/>
  </si>
  <si>
    <t>第12表</t>
    <rPh sb="0" eb="1">
      <t>ダイ</t>
    </rPh>
    <rPh sb="3" eb="4">
      <t>ヒョウ</t>
    </rPh>
    <phoneticPr fontId="2"/>
  </si>
  <si>
    <t xml:space="preserve">     納税猶予の適用を受ける特例農地等の明細書</t>
    <rPh sb="5" eb="7">
      <t>ノウゼイ</t>
    </rPh>
    <rPh sb="7" eb="9">
      <t>ユウヨ</t>
    </rPh>
    <rPh sb="10" eb="12">
      <t>テキヨウ</t>
    </rPh>
    <rPh sb="13" eb="14">
      <t>ウ</t>
    </rPh>
    <rPh sb="16" eb="18">
      <t>トクレイ</t>
    </rPh>
    <rPh sb="18" eb="20">
      <t>ノウチ</t>
    </rPh>
    <rPh sb="20" eb="21">
      <t>トウ</t>
    </rPh>
    <rPh sb="22" eb="25">
      <t>メイサイショ</t>
    </rPh>
    <phoneticPr fontId="2"/>
  </si>
  <si>
    <t>所　在　場　所　</t>
    <rPh sb="0" eb="1">
      <t>ショ</t>
    </rPh>
    <rPh sb="2" eb="3">
      <t>ザイ</t>
    </rPh>
    <rPh sb="4" eb="5">
      <t>バ</t>
    </rPh>
    <rPh sb="6" eb="7">
      <t>ショ</t>
    </rPh>
    <phoneticPr fontId="2"/>
  </si>
  <si>
    <t>面　　　　　　積</t>
    <rPh sb="0" eb="1">
      <t>メン</t>
    </rPh>
    <rPh sb="7" eb="8">
      <t>セキ</t>
    </rPh>
    <phoneticPr fontId="2"/>
  </si>
  <si>
    <t>農業投資価格</t>
    <rPh sb="0" eb="2">
      <t>ノウギョウ</t>
    </rPh>
    <rPh sb="2" eb="4">
      <t>トウシ</t>
    </rPh>
    <rPh sb="4" eb="6">
      <t>カカク</t>
    </rPh>
    <phoneticPr fontId="2"/>
  </si>
  <si>
    <t>千㎡当り単価</t>
    <rPh sb="0" eb="1">
      <t>セン</t>
    </rPh>
    <rPh sb="2" eb="3">
      <t>アタ</t>
    </rPh>
    <rPh sb="4" eb="6">
      <t>タンカ</t>
    </rPh>
    <phoneticPr fontId="2"/>
  </si>
  <si>
    <t>価　　　　　　　額</t>
    <rPh sb="0" eb="1">
      <t>アタイ</t>
    </rPh>
    <rPh sb="8" eb="9">
      <t>ガク</t>
    </rPh>
    <phoneticPr fontId="2"/>
  </si>
  <si>
    <t>通　常　価　額</t>
    <rPh sb="0" eb="1">
      <t>ツウ</t>
    </rPh>
    <rPh sb="2" eb="3">
      <t>ジョウ</t>
    </rPh>
    <rPh sb="4" eb="5">
      <t>アタイ</t>
    </rPh>
    <rPh sb="6" eb="7">
      <t>ガク</t>
    </rPh>
    <phoneticPr fontId="2"/>
  </si>
  <si>
    <t xml:space="preserve"> 農業投資価格の額　　2</t>
    <rPh sb="8" eb="9">
      <t>ガク</t>
    </rPh>
    <phoneticPr fontId="2"/>
  </si>
  <si>
    <t>農業投資価格超過額　3</t>
    <rPh sb="6" eb="9">
      <t>チョウカガク</t>
    </rPh>
    <phoneticPr fontId="2"/>
  </si>
  <si>
    <t xml:space="preserve"> 通 常 価 額 の 額　 4</t>
    <rPh sb="11" eb="12">
      <t>ガク</t>
    </rPh>
    <phoneticPr fontId="2"/>
  </si>
  <si>
    <t>B</t>
    <phoneticPr fontId="2"/>
  </si>
  <si>
    <t xml:space="preserve"> 農業投資価格の額　5</t>
    <phoneticPr fontId="2"/>
  </si>
  <si>
    <t>債務葬式費用の金額  3</t>
    <rPh sb="0" eb="2">
      <t>サイム</t>
    </rPh>
    <rPh sb="2" eb="4">
      <t>ソウシキ</t>
    </rPh>
    <rPh sb="4" eb="6">
      <t>ヒヨウ</t>
    </rPh>
    <rPh sb="7" eb="9">
      <t>キンガク</t>
    </rPh>
    <phoneticPr fontId="2"/>
  </si>
  <si>
    <t xml:space="preserve"> 純  資  産  価  額　 4</t>
    <rPh sb="1" eb="2">
      <t>ジュン</t>
    </rPh>
    <rPh sb="4" eb="5">
      <t>シ</t>
    </rPh>
    <rPh sb="7" eb="8">
      <t>サン</t>
    </rPh>
    <rPh sb="10" eb="11">
      <t>アタイ</t>
    </rPh>
    <rPh sb="13" eb="14">
      <t>ガク</t>
    </rPh>
    <phoneticPr fontId="2"/>
  </si>
  <si>
    <t xml:space="preserve"> 加算暦年贈与財産　5</t>
    <rPh sb="1" eb="3">
      <t>カサン</t>
    </rPh>
    <rPh sb="3" eb="5">
      <t>レキネン</t>
    </rPh>
    <rPh sb="5" eb="7">
      <t>ゾウヨ</t>
    </rPh>
    <rPh sb="7" eb="9">
      <t>ザイサン</t>
    </rPh>
    <phoneticPr fontId="2"/>
  </si>
  <si>
    <t xml:space="preserve"> 課　　税　　価　　格　  6</t>
    <rPh sb="1" eb="2">
      <t>カ</t>
    </rPh>
    <rPh sb="4" eb="5">
      <t>ゼイ</t>
    </rPh>
    <rPh sb="7" eb="8">
      <t>アタイ</t>
    </rPh>
    <rPh sb="10" eb="11">
      <t>カク</t>
    </rPh>
    <phoneticPr fontId="2"/>
  </si>
  <si>
    <t xml:space="preserve"> 相 続 税 の 総 額     7</t>
    <rPh sb="1" eb="2">
      <t>ソウ</t>
    </rPh>
    <rPh sb="3" eb="4">
      <t>ゾク</t>
    </rPh>
    <rPh sb="5" eb="6">
      <t>ゼイ</t>
    </rPh>
    <rPh sb="9" eb="10">
      <t>ソウ</t>
    </rPh>
    <rPh sb="11" eb="12">
      <t>ガク</t>
    </rPh>
    <phoneticPr fontId="2"/>
  </si>
  <si>
    <t xml:space="preserve">  算　 出　 税　 額　　9</t>
    <rPh sb="2" eb="3">
      <t>ザン</t>
    </rPh>
    <rPh sb="5" eb="6">
      <t>シュツ</t>
    </rPh>
    <rPh sb="8" eb="9">
      <t>ゼイ</t>
    </rPh>
    <rPh sb="11" eb="12">
      <t>ガク</t>
    </rPh>
    <phoneticPr fontId="2"/>
  </si>
  <si>
    <t xml:space="preserve">  案　 分 　割 　合　　8</t>
    <rPh sb="2" eb="3">
      <t>アン</t>
    </rPh>
    <rPh sb="5" eb="6">
      <t>ブン</t>
    </rPh>
    <rPh sb="8" eb="9">
      <t>ワリ</t>
    </rPh>
    <rPh sb="11" eb="12">
      <t>ゴウ</t>
    </rPh>
    <phoneticPr fontId="2"/>
  </si>
  <si>
    <t xml:space="preserve"> 相続税総額の差額　10</t>
    <rPh sb="1" eb="4">
      <t>ソウゾクゼイ</t>
    </rPh>
    <rPh sb="4" eb="6">
      <t>ソウガク</t>
    </rPh>
    <rPh sb="7" eb="9">
      <t>サガク</t>
    </rPh>
    <phoneticPr fontId="2"/>
  </si>
  <si>
    <t>第1表-7の金額</t>
    <rPh sb="0" eb="1">
      <t>ダイ</t>
    </rPh>
    <rPh sb="2" eb="3">
      <t>ヒョウ</t>
    </rPh>
    <rPh sb="6" eb="8">
      <t>キンガク</t>
    </rPh>
    <phoneticPr fontId="2"/>
  </si>
  <si>
    <t>第3表の7の金額</t>
    <rPh sb="0" eb="1">
      <t>ダイ</t>
    </rPh>
    <rPh sb="2" eb="3">
      <t>ヒョウ</t>
    </rPh>
    <rPh sb="6" eb="8">
      <t>キンガク</t>
    </rPh>
    <phoneticPr fontId="2"/>
  </si>
  <si>
    <t xml:space="preserve"> 農業投資価格超過額　11</t>
    <rPh sb="1" eb="3">
      <t>ノウギョウ</t>
    </rPh>
    <rPh sb="3" eb="5">
      <t>トウシ</t>
    </rPh>
    <rPh sb="5" eb="7">
      <t>カカク</t>
    </rPh>
    <rPh sb="7" eb="10">
      <t>チョウカガク</t>
    </rPh>
    <phoneticPr fontId="2"/>
  </si>
  <si>
    <t xml:space="preserve"> 各人への案分額　 12</t>
    <rPh sb="1" eb="3">
      <t>カクジン</t>
    </rPh>
    <rPh sb="5" eb="7">
      <t>アンブン</t>
    </rPh>
    <rPh sb="7" eb="8">
      <t>ガク</t>
    </rPh>
    <phoneticPr fontId="2"/>
  </si>
  <si>
    <t xml:space="preserve"> 各人の算出税額　 13</t>
    <rPh sb="4" eb="6">
      <t>サンシュツ</t>
    </rPh>
    <rPh sb="6" eb="7">
      <t>ゼイ</t>
    </rPh>
    <phoneticPr fontId="2"/>
  </si>
  <si>
    <t>①　　受贈者の氏名</t>
    <rPh sb="3" eb="5">
      <t>ジュゾウ</t>
    </rPh>
    <rPh sb="5" eb="6">
      <t>シャ</t>
    </rPh>
    <rPh sb="7" eb="9">
      <t>シメイ</t>
    </rPh>
    <phoneticPr fontId="2"/>
  </si>
  <si>
    <t>②　　受贈年分</t>
    <rPh sb="3" eb="5">
      <t>ジュゾウ</t>
    </rPh>
    <rPh sb="5" eb="6">
      <t>ネン</t>
    </rPh>
    <rPh sb="6" eb="7">
      <t>ブン</t>
    </rPh>
    <phoneticPr fontId="2"/>
  </si>
  <si>
    <t>③申告書提出税務署</t>
    <rPh sb="1" eb="4">
      <t>シンコクショ</t>
    </rPh>
    <rPh sb="4" eb="6">
      <t>テイシュツ</t>
    </rPh>
    <rPh sb="6" eb="9">
      <t>ゼイムショ</t>
    </rPh>
    <phoneticPr fontId="2"/>
  </si>
  <si>
    <t>④　受贈課税価額</t>
    <rPh sb="2" eb="4">
      <t>ジュゾウ</t>
    </rPh>
    <rPh sb="4" eb="6">
      <t>カゼイ</t>
    </rPh>
    <rPh sb="6" eb="8">
      <t>カガク</t>
    </rPh>
    <phoneticPr fontId="2"/>
  </si>
  <si>
    <t>⑤　④に係る贈与税額</t>
    <rPh sb="4" eb="5">
      <t>カカ</t>
    </rPh>
    <rPh sb="6" eb="8">
      <t>ゾウヨ</t>
    </rPh>
    <rPh sb="8" eb="10">
      <t>ゼイガク</t>
    </rPh>
    <phoneticPr fontId="2"/>
  </si>
  <si>
    <t>⑥ ⑤に係る外国税額控除</t>
    <rPh sb="4" eb="5">
      <t>カカ</t>
    </rPh>
    <rPh sb="6" eb="8">
      <t>ガイコク</t>
    </rPh>
    <rPh sb="8" eb="10">
      <t>ゼイガク</t>
    </rPh>
    <rPh sb="10" eb="12">
      <t>コウジョ</t>
    </rPh>
    <phoneticPr fontId="2"/>
  </si>
  <si>
    <t>⑦  課税価格合計額</t>
    <rPh sb="3" eb="5">
      <t>カゼイ</t>
    </rPh>
    <rPh sb="5" eb="7">
      <t>カカク</t>
    </rPh>
    <rPh sb="7" eb="9">
      <t>ゴウケイ</t>
    </rPh>
    <rPh sb="9" eb="10">
      <t>ガク</t>
    </rPh>
    <phoneticPr fontId="2"/>
  </si>
  <si>
    <t>⑧　贈与税の合計額</t>
    <rPh sb="2" eb="5">
      <t>ゾウヨゼイ</t>
    </rPh>
    <rPh sb="6" eb="8">
      <t>ゴウケイ</t>
    </rPh>
    <rPh sb="8" eb="9">
      <t>ガク</t>
    </rPh>
    <phoneticPr fontId="2"/>
  </si>
  <si>
    <t>⑨　外国税控除合計</t>
    <rPh sb="2" eb="4">
      <t>ガイコク</t>
    </rPh>
    <rPh sb="4" eb="5">
      <t>ゼイ</t>
    </rPh>
    <rPh sb="5" eb="7">
      <t>コウジョ</t>
    </rPh>
    <rPh sb="7" eb="9">
      <t>ゴウケイ</t>
    </rPh>
    <phoneticPr fontId="2"/>
  </si>
  <si>
    <t>特例事業用資産等</t>
    <rPh sb="0" eb="2">
      <t>トクレイ</t>
    </rPh>
    <rPh sb="2" eb="5">
      <t>ジギョウヨウ</t>
    </rPh>
    <rPh sb="5" eb="7">
      <t>シサン</t>
    </rPh>
    <rPh sb="7" eb="8">
      <t>トウ</t>
    </rPh>
    <phoneticPr fontId="2"/>
  </si>
  <si>
    <t>妻、子の順で入力欄妻B57子B58～64迄を使う</t>
    <rPh sb="0" eb="1">
      <t>ツマ</t>
    </rPh>
    <rPh sb="2" eb="3">
      <t>コ</t>
    </rPh>
    <rPh sb="4" eb="5">
      <t>ジュン</t>
    </rPh>
    <rPh sb="6" eb="8">
      <t>ニュウリョク</t>
    </rPh>
    <rPh sb="8" eb="9">
      <t>ラン</t>
    </rPh>
    <rPh sb="9" eb="10">
      <t>ツマ</t>
    </rPh>
    <rPh sb="13" eb="14">
      <t>コ</t>
    </rPh>
    <rPh sb="20" eb="21">
      <t>マデ</t>
    </rPh>
    <rPh sb="22" eb="23">
      <t>ツカ</t>
    </rPh>
    <phoneticPr fontId="2"/>
  </si>
  <si>
    <t>妻、父親、母親の順で入力欄妻B57を親B65～66迄を使う</t>
    <rPh sb="0" eb="1">
      <t>ツマ</t>
    </rPh>
    <rPh sb="2" eb="4">
      <t>チチオヤ</t>
    </rPh>
    <rPh sb="5" eb="7">
      <t>ハハオヤ</t>
    </rPh>
    <rPh sb="8" eb="9">
      <t>ジュン</t>
    </rPh>
    <rPh sb="10" eb="12">
      <t>ニュウリョク</t>
    </rPh>
    <rPh sb="12" eb="13">
      <t>ラン</t>
    </rPh>
    <rPh sb="13" eb="14">
      <t>ツマ</t>
    </rPh>
    <rPh sb="18" eb="19">
      <t>オヤ</t>
    </rPh>
    <rPh sb="25" eb="26">
      <t>マデ</t>
    </rPh>
    <rPh sb="27" eb="28">
      <t>ツカ</t>
    </rPh>
    <phoneticPr fontId="2"/>
  </si>
  <si>
    <t>妻、兄弟姉妹の順で入力欄妻B57を兄弟姉妹B67～70迄を使う</t>
    <rPh sb="0" eb="1">
      <t>ツマ</t>
    </rPh>
    <rPh sb="2" eb="4">
      <t>キョウダイ</t>
    </rPh>
    <rPh sb="4" eb="6">
      <t>シマイ</t>
    </rPh>
    <rPh sb="7" eb="8">
      <t>ジュン</t>
    </rPh>
    <rPh sb="9" eb="11">
      <t>ニュウリョク</t>
    </rPh>
    <rPh sb="11" eb="12">
      <t>ラン</t>
    </rPh>
    <rPh sb="12" eb="13">
      <t>ツマ</t>
    </rPh>
    <rPh sb="17" eb="19">
      <t>キョウダイ</t>
    </rPh>
    <rPh sb="19" eb="21">
      <t>シマイ</t>
    </rPh>
    <rPh sb="27" eb="28">
      <t>マデ</t>
    </rPh>
    <rPh sb="29" eb="30">
      <t>ツカ</t>
    </rPh>
    <phoneticPr fontId="2"/>
  </si>
  <si>
    <t>相続人等</t>
    <rPh sb="3" eb="4">
      <t>トウ</t>
    </rPh>
    <phoneticPr fontId="2"/>
  </si>
  <si>
    <t>第8表の2表続き</t>
    <rPh sb="6" eb="7">
      <t>ツヅ</t>
    </rPh>
    <phoneticPr fontId="2"/>
  </si>
  <si>
    <t>農業相続人有の取得額　9</t>
    <rPh sb="0" eb="2">
      <t>ノウギョウ</t>
    </rPh>
    <rPh sb="2" eb="5">
      <t>ソウゾクニン</t>
    </rPh>
    <rPh sb="5" eb="6">
      <t>アリ</t>
    </rPh>
    <rPh sb="7" eb="9">
      <t>シュトク</t>
    </rPh>
    <rPh sb="9" eb="10">
      <t>ガク</t>
    </rPh>
    <phoneticPr fontId="2"/>
  </si>
  <si>
    <t>農業相続人有の税額　10</t>
    <rPh sb="7" eb="9">
      <t>ゼイガク</t>
    </rPh>
    <phoneticPr fontId="2"/>
  </si>
  <si>
    <t>農業相続有の総額　   11</t>
    <rPh sb="0" eb="2">
      <t>ノウギョウ</t>
    </rPh>
    <rPh sb="2" eb="4">
      <t>ソウゾク</t>
    </rPh>
    <rPh sb="4" eb="5">
      <t>アリ</t>
    </rPh>
    <phoneticPr fontId="2"/>
  </si>
  <si>
    <t>特例農地等の通常価額  1</t>
    <rPh sb="0" eb="2">
      <t>トクレイ</t>
    </rPh>
    <rPh sb="2" eb="5">
      <t>ノウチトウ</t>
    </rPh>
    <rPh sb="6" eb="8">
      <t>ツウジョウ</t>
    </rPh>
    <rPh sb="8" eb="10">
      <t>カガク</t>
    </rPh>
    <phoneticPr fontId="2"/>
  </si>
  <si>
    <t>相続人等</t>
    <rPh sb="0" eb="3">
      <t>ソウゾクニン</t>
    </rPh>
    <rPh sb="3" eb="4">
      <t>トウ</t>
    </rPh>
    <phoneticPr fontId="2"/>
  </si>
  <si>
    <t>課税遺産総額</t>
    <rPh sb="0" eb="2">
      <t>カゼイ</t>
    </rPh>
    <rPh sb="2" eb="4">
      <t>イサン</t>
    </rPh>
    <rPh sb="4" eb="6">
      <t>ソウガク</t>
    </rPh>
    <phoneticPr fontId="2"/>
  </si>
  <si>
    <t>経営承継人の第8の2の付表1・付表2・付表3のAの合計額                                                              1</t>
    <rPh sb="0" eb="2">
      <t>ケイエイ</t>
    </rPh>
    <rPh sb="2" eb="4">
      <t>ショウケイ</t>
    </rPh>
    <rPh sb="4" eb="5">
      <t>ニン</t>
    </rPh>
    <rPh sb="6" eb="7">
      <t>ダイ</t>
    </rPh>
    <rPh sb="11" eb="13">
      <t>フヒョウ</t>
    </rPh>
    <rPh sb="15" eb="17">
      <t>フヒョウ</t>
    </rPh>
    <rPh sb="19" eb="21">
      <t>フヒョウ</t>
    </rPh>
    <rPh sb="25" eb="27">
      <t>ゴウケイ</t>
    </rPh>
    <rPh sb="27" eb="28">
      <t>ガク</t>
    </rPh>
    <phoneticPr fontId="2"/>
  </si>
  <si>
    <t>経営承継人に係る債務葬式費用の金額　                                                                                  　2</t>
    <rPh sb="6" eb="7">
      <t>カカ</t>
    </rPh>
    <rPh sb="8" eb="10">
      <t>サイム</t>
    </rPh>
    <rPh sb="10" eb="12">
      <t>ソウシキ</t>
    </rPh>
    <rPh sb="12" eb="14">
      <t>ヒヨウ</t>
    </rPh>
    <rPh sb="15" eb="17">
      <t>キンガク</t>
    </rPh>
    <phoneticPr fontId="2"/>
  </si>
  <si>
    <t>特定価額 ( 1 - 2 ) 　　　　　　　　　　　　　　　　　　　　　　　　　　　　　　　　　　　　　　　　　　　　　　　　　　　3</t>
    <rPh sb="0" eb="2">
      <t>トクテイ</t>
    </rPh>
    <rPh sb="2" eb="4">
      <t>カガク</t>
    </rPh>
    <phoneticPr fontId="2"/>
  </si>
  <si>
    <t>承継人以外の相続人等の課税価額の合計額　  　　　　　                                                                5</t>
    <rPh sb="0" eb="2">
      <t>ショウケイ</t>
    </rPh>
    <rPh sb="2" eb="3">
      <t>ニン</t>
    </rPh>
    <rPh sb="3" eb="5">
      <t>イガイ</t>
    </rPh>
    <rPh sb="6" eb="9">
      <t>ソウゾクニン</t>
    </rPh>
    <rPh sb="9" eb="10">
      <t>トウ</t>
    </rPh>
    <rPh sb="11" eb="13">
      <t>カゼイ</t>
    </rPh>
    <rPh sb="13" eb="15">
      <t>カガク</t>
    </rPh>
    <rPh sb="16" eb="18">
      <t>ゴウケイ</t>
    </rPh>
    <rPh sb="18" eb="19">
      <t>ガク</t>
    </rPh>
    <phoneticPr fontId="2"/>
  </si>
  <si>
    <t>基礎控除額　    　　　　　　　　　　　　　　　　　　　　　　　　　　                                                          　6</t>
    <rPh sb="0" eb="2">
      <t>キソ</t>
    </rPh>
    <rPh sb="2" eb="4">
      <t>コウジョ</t>
    </rPh>
    <rPh sb="4" eb="5">
      <t>ガク</t>
    </rPh>
    <phoneticPr fontId="2"/>
  </si>
  <si>
    <t>特定価額に基づく課税遺産総額 ( 3 + 5 - 6 )                                                                                7</t>
    <rPh sb="0" eb="2">
      <t>トクテイ</t>
    </rPh>
    <rPh sb="2" eb="4">
      <t>カガク</t>
    </rPh>
    <rPh sb="5" eb="6">
      <t>モト</t>
    </rPh>
    <rPh sb="8" eb="10">
      <t>カゼイ</t>
    </rPh>
    <rPh sb="10" eb="12">
      <t>イサン</t>
    </rPh>
    <rPh sb="12" eb="14">
      <t>ソウガク</t>
    </rPh>
    <phoneticPr fontId="2"/>
  </si>
  <si>
    <t>特定価額20％に相当する金額に基づく課税遺産総額 ( 4 + 5 - 6 )               　　　　　　　　　　　　　　　   8</t>
    <rPh sb="0" eb="2">
      <t>トクテイ</t>
    </rPh>
    <rPh sb="2" eb="4">
      <t>カガク</t>
    </rPh>
    <rPh sb="8" eb="10">
      <t>ソウトウ</t>
    </rPh>
    <rPh sb="12" eb="14">
      <t>キンガク</t>
    </rPh>
    <rPh sb="15" eb="16">
      <t>モト</t>
    </rPh>
    <rPh sb="18" eb="20">
      <t>カゼイ</t>
    </rPh>
    <rPh sb="20" eb="22">
      <t>イサン</t>
    </rPh>
    <rPh sb="22" eb="24">
      <t>ソウガク</t>
    </rPh>
    <phoneticPr fontId="2"/>
  </si>
  <si>
    <t>第3表続き</t>
    <rPh sb="0" eb="1">
      <t>ダイ</t>
    </rPh>
    <rPh sb="2" eb="3">
      <t>ヒョウ</t>
    </rPh>
    <rPh sb="3" eb="4">
      <t>ツヅ</t>
    </rPh>
    <phoneticPr fontId="2"/>
  </si>
  <si>
    <t>氏   名</t>
    <rPh sb="0" eb="1">
      <t>シ</t>
    </rPh>
    <rPh sb="4" eb="5">
      <t>メイ</t>
    </rPh>
    <phoneticPr fontId="2"/>
  </si>
  <si>
    <t>地上権、永小作権、使用貸借権利等</t>
    <rPh sb="0" eb="3">
      <t>チジョウケン</t>
    </rPh>
    <rPh sb="4" eb="5">
      <t>エイ</t>
    </rPh>
    <rPh sb="5" eb="7">
      <t>コサク</t>
    </rPh>
    <rPh sb="7" eb="8">
      <t>ケン</t>
    </rPh>
    <rPh sb="9" eb="11">
      <t>シヨウ</t>
    </rPh>
    <rPh sb="11" eb="13">
      <t>タイシャク</t>
    </rPh>
    <rPh sb="13" eb="15">
      <t>ケンリ</t>
    </rPh>
    <rPh sb="15" eb="16">
      <t>トウ</t>
    </rPh>
    <phoneticPr fontId="2"/>
  </si>
  <si>
    <t>田、畑、採草放牧地、準農地等</t>
    <rPh sb="0" eb="1">
      <t>タ</t>
    </rPh>
    <rPh sb="2" eb="3">
      <t>ハタ</t>
    </rPh>
    <rPh sb="4" eb="6">
      <t>サイソウ</t>
    </rPh>
    <rPh sb="6" eb="8">
      <t>ホウボク</t>
    </rPh>
    <rPh sb="8" eb="9">
      <t>チ</t>
    </rPh>
    <rPh sb="10" eb="11">
      <t>ジュン</t>
    </rPh>
    <rPh sb="11" eb="13">
      <t>ノウチ</t>
    </rPh>
    <rPh sb="13" eb="14">
      <t>トウ</t>
    </rPh>
    <phoneticPr fontId="2"/>
  </si>
  <si>
    <t>氏名・名称</t>
    <rPh sb="0" eb="2">
      <t>シメイ</t>
    </rPh>
    <rPh sb="3" eb="5">
      <t>メイショウ</t>
    </rPh>
    <phoneticPr fontId="2"/>
  </si>
  <si>
    <t>債権者</t>
    <rPh sb="0" eb="3">
      <t>サイケンシャ</t>
    </rPh>
    <phoneticPr fontId="2"/>
  </si>
  <si>
    <t>発生年月日</t>
    <rPh sb="0" eb="2">
      <t>ハッセイ</t>
    </rPh>
    <rPh sb="2" eb="5">
      <t>ネンガッピ</t>
    </rPh>
    <phoneticPr fontId="2"/>
  </si>
  <si>
    <t>弁済期限</t>
    <rPh sb="0" eb="2">
      <t>ベンサイ</t>
    </rPh>
    <rPh sb="2" eb="4">
      <t>キゲン</t>
    </rPh>
    <phoneticPr fontId="2"/>
  </si>
  <si>
    <t>負担する人の氏名</t>
    <rPh sb="0" eb="2">
      <t>フタン</t>
    </rPh>
    <rPh sb="4" eb="5">
      <t>ヒト</t>
    </rPh>
    <rPh sb="6" eb="8">
      <t>シメイ</t>
    </rPh>
    <phoneticPr fontId="2"/>
  </si>
  <si>
    <t>負担する金額</t>
    <rPh sb="0" eb="2">
      <t>フタン</t>
    </rPh>
    <rPh sb="4" eb="6">
      <t>キンガク</t>
    </rPh>
    <phoneticPr fontId="2"/>
  </si>
  <si>
    <t>負担することが確定した債務</t>
    <rPh sb="0" eb="2">
      <t>フタン</t>
    </rPh>
    <rPh sb="7" eb="9">
      <t>カクテイ</t>
    </rPh>
    <rPh sb="11" eb="13">
      <t>サイム</t>
    </rPh>
    <phoneticPr fontId="2"/>
  </si>
  <si>
    <t>各相続人純財産価額   10</t>
    <rPh sb="0" eb="4">
      <t>カクソウゾクニン</t>
    </rPh>
    <rPh sb="4" eb="5">
      <t>ジュン</t>
    </rPh>
    <rPh sb="5" eb="7">
      <t>ザイサン</t>
    </rPh>
    <rPh sb="7" eb="9">
      <t>カガク</t>
    </rPh>
    <phoneticPr fontId="2"/>
  </si>
  <si>
    <t>相続人以外含左の合計 11</t>
    <rPh sb="0" eb="3">
      <t>ソウゾクニン</t>
    </rPh>
    <rPh sb="3" eb="5">
      <t>イガイ</t>
    </rPh>
    <rPh sb="5" eb="6">
      <t>フク</t>
    </rPh>
    <rPh sb="6" eb="7">
      <t>サ</t>
    </rPh>
    <rPh sb="8" eb="10">
      <t>ゴウケイ</t>
    </rPh>
    <phoneticPr fontId="2"/>
  </si>
  <si>
    <t>各人の10/Bの割合　12</t>
    <rPh sb="0" eb="2">
      <t>カクジン</t>
    </rPh>
    <rPh sb="8" eb="10">
      <t>ワリアイ</t>
    </rPh>
    <phoneticPr fontId="2"/>
  </si>
  <si>
    <t>各相続人純財産価額   15</t>
    <phoneticPr fontId="2"/>
  </si>
  <si>
    <t>相続人以外含左の合計  16</t>
    <phoneticPr fontId="2"/>
  </si>
  <si>
    <t>各人の15/Cの割合  17</t>
    <phoneticPr fontId="2"/>
  </si>
  <si>
    <t>各人の相次相続控除額  18</t>
    <phoneticPr fontId="2"/>
  </si>
  <si>
    <t xml:space="preserve"> 納　　　期　　　限   1</t>
    <rPh sb="1" eb="2">
      <t>オサメ</t>
    </rPh>
    <rPh sb="5" eb="6">
      <t>キ</t>
    </rPh>
    <rPh sb="9" eb="10">
      <t>キリ</t>
    </rPh>
    <phoneticPr fontId="2"/>
  </si>
  <si>
    <t xml:space="preserve"> 単　　　　　　価    2</t>
    <rPh sb="1" eb="2">
      <t>タン</t>
    </rPh>
    <rPh sb="8" eb="9">
      <t>アタイ</t>
    </rPh>
    <phoneticPr fontId="2"/>
  </si>
  <si>
    <t xml:space="preserve"> 税             額    2</t>
    <rPh sb="1" eb="2">
      <t>ゼイ</t>
    </rPh>
    <rPh sb="15" eb="16">
      <t>ガク</t>
    </rPh>
    <phoneticPr fontId="2"/>
  </si>
  <si>
    <t>法定相続人　　　 4</t>
    <rPh sb="0" eb="2">
      <t>ホウテイ</t>
    </rPh>
    <rPh sb="2" eb="4">
      <t>ソウゾク</t>
    </rPh>
    <rPh sb="4" eb="5">
      <t>ニン</t>
    </rPh>
    <phoneticPr fontId="2"/>
  </si>
  <si>
    <t>二重身分等対応税額  7</t>
    <phoneticPr fontId="2"/>
  </si>
  <si>
    <t>特殊無対応税額  7</t>
    <rPh sb="0" eb="2">
      <t>トクシュ</t>
    </rPh>
    <rPh sb="2" eb="3">
      <t>ナシ</t>
    </rPh>
    <rPh sb="3" eb="5">
      <t>タイオウ</t>
    </rPh>
    <rPh sb="5" eb="7">
      <t>ゼイガク</t>
    </rPh>
    <phoneticPr fontId="2"/>
  </si>
  <si>
    <t>分割財産の価額　 1</t>
    <rPh sb="0" eb="2">
      <t>ブンカツ</t>
    </rPh>
    <rPh sb="2" eb="4">
      <t>ザイサン</t>
    </rPh>
    <rPh sb="5" eb="7">
      <t>カガク</t>
    </rPh>
    <phoneticPr fontId="2"/>
  </si>
  <si>
    <t>債務及葬式費用金額  2</t>
    <rPh sb="0" eb="2">
      <t>サイム</t>
    </rPh>
    <rPh sb="2" eb="3">
      <t>オヨ</t>
    </rPh>
    <rPh sb="3" eb="5">
      <t>ソウシキ</t>
    </rPh>
    <rPh sb="5" eb="7">
      <t>ヒヨウ</t>
    </rPh>
    <rPh sb="7" eb="9">
      <t>キンガク</t>
    </rPh>
    <phoneticPr fontId="2"/>
  </si>
  <si>
    <t>未分割財産価額　 3</t>
    <rPh sb="0" eb="3">
      <t>ミブンカツ</t>
    </rPh>
    <rPh sb="3" eb="5">
      <t>ザイサン</t>
    </rPh>
    <rPh sb="5" eb="7">
      <t>カガク</t>
    </rPh>
    <phoneticPr fontId="2"/>
  </si>
  <si>
    <t xml:space="preserve">   (　 2　 -　 3　 )    4</t>
    <phoneticPr fontId="2"/>
  </si>
  <si>
    <t>加算暦年贈与価額  5</t>
    <rPh sb="0" eb="2">
      <t>カサン</t>
    </rPh>
    <rPh sb="2" eb="4">
      <t>レキネン</t>
    </rPh>
    <rPh sb="4" eb="6">
      <t>ゾウヨ</t>
    </rPh>
    <rPh sb="6" eb="8">
      <t>カガク</t>
    </rPh>
    <phoneticPr fontId="2"/>
  </si>
  <si>
    <t xml:space="preserve">   (  1 - 4  +  5  )   6</t>
    <phoneticPr fontId="2"/>
  </si>
  <si>
    <t xml:space="preserve"> 相続税の総額     7</t>
    <rPh sb="1" eb="4">
      <t>ソウゾクゼイ</t>
    </rPh>
    <rPh sb="5" eb="7">
      <t>ソウガク</t>
    </rPh>
    <phoneticPr fontId="2"/>
  </si>
  <si>
    <t xml:space="preserve"> イと6の少ない金額    8</t>
    <rPh sb="5" eb="6">
      <t>スク</t>
    </rPh>
    <rPh sb="8" eb="10">
      <t>キンガク</t>
    </rPh>
    <phoneticPr fontId="2"/>
  </si>
  <si>
    <t xml:space="preserve"> 課税価格の合計額   9</t>
    <rPh sb="1" eb="3">
      <t>カゼイ</t>
    </rPh>
    <rPh sb="3" eb="5">
      <t>カカク</t>
    </rPh>
    <rPh sb="6" eb="8">
      <t>ゴウケイ</t>
    </rPh>
    <rPh sb="8" eb="9">
      <t>ガク</t>
    </rPh>
    <phoneticPr fontId="2"/>
  </si>
  <si>
    <t>税額軽減の基金額 10</t>
    <rPh sb="0" eb="2">
      <t>ゼイガク</t>
    </rPh>
    <rPh sb="2" eb="4">
      <t>ケイゲン</t>
    </rPh>
    <rPh sb="5" eb="6">
      <t>モト</t>
    </rPh>
    <rPh sb="6" eb="8">
      <t>キンガク</t>
    </rPh>
    <phoneticPr fontId="2"/>
  </si>
  <si>
    <t>税額軽減の限度額</t>
    <rPh sb="0" eb="2">
      <t>ゼイガク</t>
    </rPh>
    <rPh sb="2" eb="4">
      <t>ケイゲン</t>
    </rPh>
    <rPh sb="5" eb="7">
      <t>ゲンド</t>
    </rPh>
    <rPh sb="7" eb="8">
      <t>ガク</t>
    </rPh>
    <phoneticPr fontId="2"/>
  </si>
  <si>
    <t>暦年贈与税額控除</t>
    <rPh sb="0" eb="2">
      <t>レキネン</t>
    </rPh>
    <rPh sb="2" eb="4">
      <t>ゾウヨ</t>
    </rPh>
    <rPh sb="4" eb="5">
      <t>ゼイ</t>
    </rPh>
    <rPh sb="5" eb="6">
      <t>ガク</t>
    </rPh>
    <rPh sb="6" eb="8">
      <t>コウジョ</t>
    </rPh>
    <phoneticPr fontId="2"/>
  </si>
  <si>
    <t>発行済株式総数   1</t>
    <rPh sb="0" eb="2">
      <t>ハッコウ</t>
    </rPh>
    <rPh sb="2" eb="3">
      <t>スミ</t>
    </rPh>
    <rPh sb="3" eb="5">
      <t>カブシキ</t>
    </rPh>
    <rPh sb="5" eb="7">
      <t>ソウスウ</t>
    </rPh>
    <phoneticPr fontId="2"/>
  </si>
  <si>
    <t>取得した株式等の数   2</t>
    <rPh sb="0" eb="2">
      <t>シュトク</t>
    </rPh>
    <rPh sb="4" eb="7">
      <t>カブシキトウ</t>
    </rPh>
    <rPh sb="8" eb="9">
      <t>スウ</t>
    </rPh>
    <phoneticPr fontId="2"/>
  </si>
  <si>
    <t>特例適用株式等の数    3</t>
    <rPh sb="0" eb="2">
      <t>トクレイ</t>
    </rPh>
    <rPh sb="2" eb="4">
      <t>テキヨウ</t>
    </rPh>
    <rPh sb="4" eb="7">
      <t>カブシキトウ</t>
    </rPh>
    <rPh sb="8" eb="9">
      <t>スウ</t>
    </rPh>
    <phoneticPr fontId="2"/>
  </si>
  <si>
    <t>1株当りの価額     4</t>
    <rPh sb="1" eb="2">
      <t>カブ</t>
    </rPh>
    <rPh sb="2" eb="3">
      <t>アタ</t>
    </rPh>
    <rPh sb="5" eb="7">
      <t>カガク</t>
    </rPh>
    <phoneticPr fontId="2"/>
  </si>
  <si>
    <t>相続開始5ヶ月後の</t>
    <rPh sb="0" eb="2">
      <t>ソウゾク</t>
    </rPh>
    <rPh sb="2" eb="4">
      <t>カイシ</t>
    </rPh>
    <rPh sb="6" eb="7">
      <t>ゲツ</t>
    </rPh>
    <rPh sb="7" eb="8">
      <t>ノチ</t>
    </rPh>
    <phoneticPr fontId="2"/>
  </si>
  <si>
    <t xml:space="preserve"> 経営継承人等の役職　7</t>
    <phoneticPr fontId="2"/>
  </si>
  <si>
    <t xml:space="preserve">      (  1  -  2  )      3</t>
    <phoneticPr fontId="2"/>
  </si>
  <si>
    <t xml:space="preserve"> 限度数3と2②少数  4</t>
    <rPh sb="1" eb="3">
      <t>ゲンド</t>
    </rPh>
    <rPh sb="3" eb="4">
      <t>スウ</t>
    </rPh>
    <rPh sb="8" eb="9">
      <t>スク</t>
    </rPh>
    <rPh sb="9" eb="10">
      <t>スウ</t>
    </rPh>
    <phoneticPr fontId="2"/>
  </si>
  <si>
    <t>杉並区荻窪1丁目2番14号</t>
    <rPh sb="0" eb="3">
      <t>スギナミク</t>
    </rPh>
    <rPh sb="3" eb="5">
      <t>オギクボ</t>
    </rPh>
    <rPh sb="6" eb="8">
      <t>チョウメ</t>
    </rPh>
    <rPh sb="9" eb="10">
      <t>バン</t>
    </rPh>
    <rPh sb="12" eb="13">
      <t>ゴウ</t>
    </rPh>
    <phoneticPr fontId="2"/>
  </si>
  <si>
    <t>03-5397-3343</t>
    <phoneticPr fontId="2"/>
  </si>
  <si>
    <t>平成20.12.26.</t>
    <rPh sb="0" eb="2">
      <t>ヘイセイ</t>
    </rPh>
    <phoneticPr fontId="2"/>
  </si>
  <si>
    <t>小林洋子</t>
    <rPh sb="0" eb="2">
      <t>コバヤシ</t>
    </rPh>
    <rPh sb="2" eb="4">
      <t>ヨウコ</t>
    </rPh>
    <phoneticPr fontId="2"/>
  </si>
  <si>
    <t>小林智子</t>
    <rPh sb="0" eb="2">
      <t>コバヤシ</t>
    </rPh>
    <rPh sb="2" eb="4">
      <t>トモコ</t>
    </rPh>
    <phoneticPr fontId="2"/>
  </si>
  <si>
    <t>小林尊琉</t>
    <rPh sb="0" eb="2">
      <t>コバヤシ</t>
    </rPh>
    <rPh sb="2" eb="3">
      <t>タカシ</t>
    </rPh>
    <rPh sb="3" eb="4">
      <t>ル</t>
    </rPh>
    <phoneticPr fontId="2"/>
  </si>
  <si>
    <t>小林二郎</t>
    <rPh sb="0" eb="2">
      <t>コバヤシ</t>
    </rPh>
    <rPh sb="2" eb="4">
      <t>ジロウ</t>
    </rPh>
    <phoneticPr fontId="2"/>
  </si>
  <si>
    <t>佐藤英理</t>
    <rPh sb="0" eb="2">
      <t>サトウ</t>
    </rPh>
    <rPh sb="2" eb="3">
      <t>エイ</t>
    </rPh>
    <rPh sb="3" eb="4">
      <t>リ</t>
    </rPh>
    <phoneticPr fontId="2"/>
  </si>
  <si>
    <t>小林　円</t>
    <rPh sb="0" eb="2">
      <t>コバヤシ</t>
    </rPh>
    <rPh sb="3" eb="4">
      <t>マドカ</t>
    </rPh>
    <phoneticPr fontId="2"/>
  </si>
  <si>
    <t>相続人以外</t>
    <rPh sb="0" eb="3">
      <t>ソウゾクニン</t>
    </rPh>
    <rPh sb="3" eb="5">
      <t>イガイ</t>
    </rPh>
    <phoneticPr fontId="2"/>
  </si>
  <si>
    <t>妻</t>
    <rPh sb="0" eb="1">
      <t>ツマ</t>
    </rPh>
    <phoneticPr fontId="2"/>
  </si>
  <si>
    <t>長女</t>
    <rPh sb="0" eb="2">
      <t>チョウジョ</t>
    </rPh>
    <phoneticPr fontId="2"/>
  </si>
  <si>
    <t>長男の子　被相続人の普通養子</t>
    <rPh sb="0" eb="2">
      <t>チョウナン</t>
    </rPh>
    <rPh sb="3" eb="4">
      <t>コ</t>
    </rPh>
    <rPh sb="5" eb="6">
      <t>ヒ</t>
    </rPh>
    <rPh sb="6" eb="9">
      <t>ソウゾクニン</t>
    </rPh>
    <rPh sb="10" eb="12">
      <t>フツウ</t>
    </rPh>
    <rPh sb="12" eb="14">
      <t>ヨウシ</t>
    </rPh>
    <phoneticPr fontId="2"/>
  </si>
  <si>
    <t>二男　特別障害者</t>
    <rPh sb="0" eb="2">
      <t>ジナン</t>
    </rPh>
    <rPh sb="3" eb="5">
      <t>トクベツ</t>
    </rPh>
    <rPh sb="5" eb="8">
      <t>ショウガイシャ</t>
    </rPh>
    <phoneticPr fontId="2"/>
  </si>
  <si>
    <t>二女</t>
    <rPh sb="0" eb="2">
      <t>ジジョ</t>
    </rPh>
    <phoneticPr fontId="2"/>
  </si>
  <si>
    <t>小林一郎　長男　この相続前に死亡</t>
    <rPh sb="0" eb="2">
      <t>コバヤシ</t>
    </rPh>
    <rPh sb="2" eb="4">
      <t>イチロウ</t>
    </rPh>
    <rPh sb="5" eb="7">
      <t>チョウナン</t>
    </rPh>
    <rPh sb="10" eb="12">
      <t>ソウゾク</t>
    </rPh>
    <rPh sb="12" eb="13">
      <t>マエ</t>
    </rPh>
    <rPh sb="14" eb="16">
      <t>シボウ</t>
    </rPh>
    <phoneticPr fontId="2"/>
  </si>
  <si>
    <t>佐藤英理　孫　遺贈あり</t>
    <rPh sb="0" eb="2">
      <t>サトウ</t>
    </rPh>
    <rPh sb="2" eb="3">
      <t>エイ</t>
    </rPh>
    <rPh sb="3" eb="4">
      <t>リ</t>
    </rPh>
    <rPh sb="5" eb="6">
      <t>マゴ</t>
    </rPh>
    <rPh sb="7" eb="9">
      <t>イゾウ</t>
    </rPh>
    <phoneticPr fontId="2"/>
  </si>
  <si>
    <t>1/2*1/5</t>
    <phoneticPr fontId="2"/>
  </si>
  <si>
    <t>1/2*1/5*1/1</t>
    <phoneticPr fontId="2"/>
  </si>
  <si>
    <t>小林幸太郎</t>
    <rPh sb="0" eb="2">
      <t>コバヤシ</t>
    </rPh>
    <rPh sb="2" eb="5">
      <t>コウタロウ</t>
    </rPh>
    <phoneticPr fontId="2"/>
  </si>
  <si>
    <t>一般相続税及非上場株相続税猶予計算入力版　(文字・数値入力版)</t>
    <rPh sb="0" eb="2">
      <t>イッパン</t>
    </rPh>
    <rPh sb="2" eb="5">
      <t>ソウゾクゼイ</t>
    </rPh>
    <rPh sb="5" eb="6">
      <t>オヨ</t>
    </rPh>
    <rPh sb="15" eb="17">
      <t>ケイサン</t>
    </rPh>
    <rPh sb="17" eb="19">
      <t>ニュウリョク</t>
    </rPh>
    <rPh sb="19" eb="20">
      <t>バン</t>
    </rPh>
    <rPh sb="22" eb="24">
      <t>モジ</t>
    </rPh>
    <rPh sb="25" eb="27">
      <t>スウチ</t>
    </rPh>
    <rPh sb="27" eb="29">
      <t>ニュウリョク</t>
    </rPh>
    <rPh sb="29" eb="30">
      <t>バン</t>
    </rPh>
    <phoneticPr fontId="2"/>
  </si>
  <si>
    <t>一般相続税及非上場株相続税猶予計算出力版　(文字・数値出力版)</t>
    <rPh sb="17" eb="19">
      <t>シュツリョク</t>
    </rPh>
    <rPh sb="27" eb="29">
      <t>シュツリョク</t>
    </rPh>
    <phoneticPr fontId="2"/>
  </si>
</sst>
</file>

<file path=xl/styles.xml><?xml version="1.0" encoding="utf-8"?>
<styleSheet xmlns="http://schemas.openxmlformats.org/spreadsheetml/2006/main">
  <numFmts count="14">
    <numFmt numFmtId="176" formatCode="#,##0.000;[Red]\-#,##0.000"/>
    <numFmt numFmtId="177" formatCode="#,##0.0000;[Red]\-#,##0.0000"/>
    <numFmt numFmtId="178" formatCode="#,##0_);[Red]\(#,##0\)"/>
    <numFmt numFmtId="179" formatCode="0.00_ "/>
    <numFmt numFmtId="180" formatCode="#,##0.0000_);[Red]\(#,##0.0000\)"/>
    <numFmt numFmtId="181" formatCode="0.0000_ "/>
    <numFmt numFmtId="182" formatCode="0.0000000_ "/>
    <numFmt numFmtId="183" formatCode="#,##0.0000000_);[Red]\(#,##0.0000000\)"/>
    <numFmt numFmtId="184" formatCode="#\ ?/100"/>
    <numFmt numFmtId="185" formatCode="0.00000000000_ "/>
    <numFmt numFmtId="186" formatCode="#,##0.00;[Red]#,##0.00"/>
    <numFmt numFmtId="187" formatCode="#\ ???/???"/>
    <numFmt numFmtId="188" formatCode="#,##0_ ;[Red]\-#,##0\ "/>
    <numFmt numFmtId="189" formatCode="0_ ;[Red]\-0\ "/>
  </numFmts>
  <fonts count="39">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sz val="12"/>
      <name val="ＭＳ Ｐゴシック"/>
      <family val="3"/>
      <charset val="128"/>
    </font>
    <font>
      <u/>
      <sz val="8.25"/>
      <color indexed="12"/>
      <name val="ＭＳ Ｐゴシック"/>
      <family val="3"/>
      <charset val="128"/>
    </font>
    <font>
      <b/>
      <sz val="18"/>
      <name val="ＭＳ Ｐゴシック"/>
      <family val="3"/>
      <charset val="128"/>
    </font>
    <font>
      <sz val="10"/>
      <name val="ＭＳ Ｐゴシック"/>
      <family val="3"/>
      <charset val="128"/>
    </font>
    <font>
      <b/>
      <sz val="14"/>
      <color indexed="12"/>
      <name val="ＭＳ Ｐゴシック"/>
      <family val="3"/>
      <charset val="128"/>
    </font>
    <font>
      <b/>
      <sz val="12"/>
      <color indexed="12"/>
      <name val="ＭＳ Ｐゴシック"/>
      <family val="3"/>
      <charset val="128"/>
    </font>
    <font>
      <sz val="14"/>
      <color indexed="12"/>
      <name val="ＭＳ Ｐゴシック"/>
      <family val="3"/>
      <charset val="128"/>
    </font>
    <font>
      <b/>
      <sz val="14"/>
      <color indexed="10"/>
      <name val="ＭＳ Ｐゴシック"/>
      <family val="3"/>
      <charset val="128"/>
    </font>
    <font>
      <b/>
      <sz val="16"/>
      <name val="ＭＳ Ｐゴシック"/>
      <family val="3"/>
      <charset val="128"/>
    </font>
    <font>
      <sz val="11"/>
      <name val="ＭＳ Ｐゴシック"/>
      <family val="3"/>
      <charset val="128"/>
    </font>
    <font>
      <b/>
      <sz val="14"/>
      <name val="ＭＳ Ｐゴシック"/>
      <family val="3"/>
      <charset val="128"/>
    </font>
    <font>
      <sz val="11"/>
      <name val="ＭＳ Ｐゴシック"/>
      <family val="3"/>
      <charset val="128"/>
    </font>
    <font>
      <sz val="14"/>
      <name val="ＭＳ Ｐゴシック"/>
      <family val="3"/>
      <charset val="128"/>
    </font>
    <font>
      <sz val="11"/>
      <name val="ＭＳ Ｐゴシック"/>
      <family val="3"/>
      <charset val="128"/>
    </font>
    <font>
      <b/>
      <sz val="16"/>
      <color indexed="10"/>
      <name val="ＭＳ Ｐゴシック"/>
      <family val="3"/>
      <charset val="128"/>
    </font>
    <font>
      <sz val="11"/>
      <color indexed="8"/>
      <name val="ＭＳ Ｐゴシック"/>
      <family val="3"/>
      <charset val="128"/>
    </font>
    <font>
      <b/>
      <sz val="18"/>
      <color indexed="8"/>
      <name val="ＭＳ Ｐゴシック"/>
      <family val="3"/>
      <charset val="128"/>
    </font>
    <font>
      <sz val="12"/>
      <color indexed="8"/>
      <name val="ＭＳ Ｐゴシック"/>
      <family val="3"/>
      <charset val="128"/>
    </font>
    <font>
      <sz val="10"/>
      <color indexed="8"/>
      <name val="ＭＳ Ｐゴシック"/>
      <family val="3"/>
      <charset val="128"/>
    </font>
    <font>
      <b/>
      <sz val="14"/>
      <color indexed="8"/>
      <name val="ＭＳ Ｐゴシック"/>
      <family val="3"/>
      <charset val="128"/>
    </font>
    <font>
      <b/>
      <sz val="12"/>
      <color indexed="8"/>
      <name val="ＭＳ Ｐゴシック"/>
      <family val="3"/>
      <charset val="128"/>
    </font>
    <font>
      <sz val="14"/>
      <color indexed="8"/>
      <name val="ＭＳ Ｐゴシック"/>
      <family val="3"/>
      <charset val="128"/>
    </font>
    <font>
      <sz val="18"/>
      <color indexed="8"/>
      <name val="ＭＳ Ｐゴシック"/>
      <family val="3"/>
      <charset val="128"/>
    </font>
    <font>
      <b/>
      <sz val="11"/>
      <color indexed="8"/>
      <name val="ＭＳ Ｐゴシック"/>
      <family val="3"/>
      <charset val="128"/>
    </font>
    <font>
      <b/>
      <sz val="22"/>
      <color indexed="53"/>
      <name val="ＭＳ Ｐゴシック"/>
      <family val="3"/>
      <charset val="128"/>
    </font>
    <font>
      <sz val="22"/>
      <color indexed="81"/>
      <name val="ＭＳ Ｐゴシック"/>
      <family val="3"/>
      <charset val="128"/>
    </font>
    <font>
      <b/>
      <sz val="14"/>
      <color indexed="18"/>
      <name val="ＭＳ Ｐゴシック"/>
      <family val="3"/>
      <charset val="128"/>
    </font>
    <font>
      <b/>
      <sz val="16"/>
      <color indexed="53"/>
      <name val="ＭＳ Ｐゴシック"/>
      <family val="3"/>
      <charset val="128"/>
    </font>
    <font>
      <b/>
      <sz val="20"/>
      <name val="ＭＳ Ｐゴシック"/>
      <family val="3"/>
      <charset val="128"/>
    </font>
    <font>
      <sz val="20"/>
      <name val="ＭＳ Ｐゴシック"/>
      <family val="3"/>
      <charset val="128"/>
    </font>
    <font>
      <u/>
      <sz val="10"/>
      <name val="ＭＳ Ｐゴシック"/>
      <family val="3"/>
      <charset val="128"/>
    </font>
    <font>
      <b/>
      <u/>
      <sz val="12"/>
      <name val="ＭＳ Ｐゴシック"/>
      <family val="3"/>
      <charset val="128"/>
    </font>
    <font>
      <b/>
      <sz val="10"/>
      <name val="ＭＳ Ｐゴシック"/>
      <family val="3"/>
      <charset val="128"/>
    </font>
    <font>
      <b/>
      <sz val="10"/>
      <color rgb="FFFF0000"/>
      <name val="ＭＳ Ｐゴシック"/>
      <family val="3"/>
      <charset val="128"/>
    </font>
    <font>
      <b/>
      <sz val="14"/>
      <color rgb="FFFF0000"/>
      <name val="ＭＳ Ｐゴシック"/>
      <family val="3"/>
      <charset val="128"/>
    </font>
  </fonts>
  <fills count="4">
    <fill>
      <patternFill patternType="none"/>
    </fill>
    <fill>
      <patternFill patternType="gray125"/>
    </fill>
    <fill>
      <patternFill patternType="solid">
        <fgColor indexed="41"/>
        <bgColor indexed="64"/>
      </patternFill>
    </fill>
    <fill>
      <patternFill patternType="solid">
        <fgColor theme="8" tint="0.79998168889431442"/>
        <bgColor indexed="64"/>
      </patternFill>
    </fill>
  </fills>
  <borders count="99">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dotted">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dotted">
        <color indexed="64"/>
      </right>
      <top style="medium">
        <color indexed="64"/>
      </top>
      <bottom style="medium">
        <color indexed="64"/>
      </bottom>
      <diagonal/>
    </border>
    <border>
      <left style="medium">
        <color indexed="64"/>
      </left>
      <right style="dotted">
        <color indexed="64"/>
      </right>
      <top style="medium">
        <color indexed="64"/>
      </top>
      <bottom/>
      <diagonal/>
    </border>
    <border>
      <left style="medium">
        <color indexed="64"/>
      </left>
      <right style="medium">
        <color indexed="64"/>
      </right>
      <top style="medium">
        <color indexed="64"/>
      </top>
      <bottom style="dotted">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dotted">
        <color indexed="64"/>
      </right>
      <top/>
      <bottom style="medium">
        <color indexed="64"/>
      </bottom>
      <diagonal/>
    </border>
    <border>
      <left style="dotted">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
      <left/>
      <right/>
      <top style="medium">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double">
        <color indexed="64"/>
      </left>
      <right/>
      <top/>
      <bottom/>
      <diagonal/>
    </border>
    <border diagonalDown="1">
      <left style="thin">
        <color indexed="64"/>
      </left>
      <right style="thin">
        <color indexed="64"/>
      </right>
      <top style="thin">
        <color indexed="64"/>
      </top>
      <bottom style="thin">
        <color indexed="64"/>
      </bottom>
      <diagonal style="thin">
        <color indexed="64"/>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bottom/>
      <diagonal style="thin">
        <color indexed="64"/>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s>
  <cellStyleXfs count="4">
    <xf numFmtId="0" fontId="0" fillId="0" borderId="0">
      <alignment vertical="center"/>
    </xf>
    <xf numFmtId="9" fontId="1"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1" fillId="0" borderId="0" applyFont="0" applyFill="0" applyBorder="0" applyAlignment="0" applyProtection="0">
      <alignment vertical="center"/>
    </xf>
  </cellStyleXfs>
  <cellXfs count="897">
    <xf numFmtId="0" fontId="0" fillId="0" borderId="0" xfId="0">
      <alignment vertical="center"/>
    </xf>
    <xf numFmtId="0" fontId="21" fillId="0" borderId="0" xfId="0" applyFont="1" applyProtection="1">
      <alignment vertical="center"/>
      <protection hidden="1"/>
    </xf>
    <xf numFmtId="0" fontId="21" fillId="0" borderId="0" xfId="0" applyFont="1" applyBorder="1" applyProtection="1">
      <alignment vertical="center"/>
      <protection hidden="1"/>
    </xf>
    <xf numFmtId="0" fontId="19" fillId="0" borderId="0" xfId="0" applyFont="1" applyBorder="1" applyProtection="1">
      <alignment vertical="center"/>
      <protection hidden="1"/>
    </xf>
    <xf numFmtId="0" fontId="19" fillId="0" borderId="0" xfId="0" applyFont="1" applyProtection="1">
      <alignment vertical="center"/>
      <protection hidden="1"/>
    </xf>
    <xf numFmtId="0" fontId="21" fillId="0" borderId="0" xfId="0" applyFont="1" applyBorder="1" applyAlignment="1" applyProtection="1">
      <alignment vertical="center"/>
      <protection hidden="1"/>
    </xf>
    <xf numFmtId="0" fontId="21" fillId="0" borderId="0" xfId="0" applyFont="1" applyFill="1" applyProtection="1">
      <alignment vertical="center"/>
      <protection hidden="1"/>
    </xf>
    <xf numFmtId="0" fontId="20" fillId="0" borderId="0" xfId="0" applyFont="1" applyAlignment="1" applyProtection="1">
      <alignment horizontal="center" vertical="center"/>
      <protection hidden="1"/>
    </xf>
    <xf numFmtId="0" fontId="21" fillId="2" borderId="1" xfId="0" applyFont="1" applyFill="1" applyBorder="1" applyAlignment="1" applyProtection="1">
      <alignment horizontal="center" vertical="center"/>
      <protection hidden="1"/>
    </xf>
    <xf numFmtId="0" fontId="22" fillId="0" borderId="0" xfId="0" applyFont="1" applyBorder="1" applyAlignment="1" applyProtection="1">
      <alignment vertical="center"/>
      <protection hidden="1"/>
    </xf>
    <xf numFmtId="0" fontId="24" fillId="0" borderId="0" xfId="0" applyFont="1" applyBorder="1" applyAlignment="1" applyProtection="1">
      <alignment vertical="center"/>
      <protection hidden="1"/>
    </xf>
    <xf numFmtId="0" fontId="23" fillId="2" borderId="1" xfId="0" applyFont="1" applyFill="1" applyBorder="1" applyAlignment="1" applyProtection="1">
      <alignment horizontal="center" vertical="center"/>
      <protection hidden="1"/>
    </xf>
    <xf numFmtId="0" fontId="23" fillId="0" borderId="0" xfId="0" applyFont="1" applyBorder="1" applyAlignment="1" applyProtection="1">
      <alignment horizontal="center" vertical="center"/>
      <protection hidden="1"/>
    </xf>
    <xf numFmtId="0" fontId="24" fillId="2" borderId="1" xfId="0" applyFont="1" applyFill="1" applyBorder="1" applyAlignment="1" applyProtection="1">
      <alignment horizontal="center" vertical="center"/>
      <protection hidden="1"/>
    </xf>
    <xf numFmtId="0" fontId="25" fillId="2" borderId="1" xfId="0" applyFont="1" applyFill="1" applyBorder="1" applyAlignment="1" applyProtection="1">
      <alignment horizontal="distributed" vertical="center"/>
      <protection hidden="1"/>
    </xf>
    <xf numFmtId="0" fontId="21" fillId="0" borderId="0" xfId="0" applyFont="1" applyBorder="1" applyAlignment="1" applyProtection="1">
      <alignment horizontal="distributed" vertical="center"/>
      <protection hidden="1"/>
    </xf>
    <xf numFmtId="38" fontId="25" fillId="2" borderId="1" xfId="3" applyFont="1" applyFill="1" applyBorder="1" applyAlignment="1" applyProtection="1">
      <alignment vertical="center"/>
      <protection hidden="1"/>
    </xf>
    <xf numFmtId="178" fontId="25" fillId="2" borderId="1" xfId="3" applyNumberFormat="1" applyFont="1" applyFill="1" applyBorder="1" applyAlignment="1" applyProtection="1">
      <alignment vertical="center"/>
      <protection hidden="1"/>
    </xf>
    <xf numFmtId="38" fontId="21" fillId="0" borderId="0" xfId="3" applyFont="1" applyBorder="1" applyAlignment="1" applyProtection="1">
      <alignment vertical="center"/>
      <protection hidden="1"/>
    </xf>
    <xf numFmtId="0" fontId="19" fillId="0" borderId="0" xfId="0" applyFont="1" applyAlignment="1" applyProtection="1">
      <alignment vertical="center"/>
      <protection hidden="1"/>
    </xf>
    <xf numFmtId="0" fontId="8" fillId="2" borderId="1" xfId="0" applyFont="1" applyFill="1" applyBorder="1" applyAlignment="1" applyProtection="1">
      <alignment horizontal="distributed" vertical="center"/>
      <protection hidden="1"/>
    </xf>
    <xf numFmtId="38" fontId="20" fillId="2" borderId="1" xfId="3" applyFont="1" applyFill="1" applyBorder="1" applyAlignment="1" applyProtection="1">
      <alignment horizontal="center" vertical="center"/>
      <protection hidden="1"/>
    </xf>
    <xf numFmtId="38" fontId="20" fillId="2" borderId="2" xfId="3" applyFont="1" applyFill="1" applyBorder="1" applyAlignment="1" applyProtection="1">
      <alignment horizontal="center" vertical="center"/>
      <protection hidden="1"/>
    </xf>
    <xf numFmtId="38" fontId="25" fillId="2" borderId="0" xfId="3" applyFont="1" applyFill="1" applyBorder="1" applyAlignment="1" applyProtection="1">
      <alignment vertical="center"/>
      <protection hidden="1"/>
    </xf>
    <xf numFmtId="38" fontId="25" fillId="2" borderId="0" xfId="3" applyFont="1" applyFill="1" applyBorder="1" applyAlignment="1" applyProtection="1">
      <alignment horizontal="center" vertical="center"/>
      <protection hidden="1"/>
    </xf>
    <xf numFmtId="178" fontId="30" fillId="2" borderId="1" xfId="3" applyNumberFormat="1" applyFont="1" applyFill="1" applyBorder="1" applyAlignment="1" applyProtection="1">
      <alignment vertical="center"/>
      <protection hidden="1"/>
    </xf>
    <xf numFmtId="38" fontId="20" fillId="0" borderId="0" xfId="3" applyFont="1" applyBorder="1" applyAlignment="1" applyProtection="1">
      <alignment vertical="center"/>
      <protection hidden="1"/>
    </xf>
    <xf numFmtId="0" fontId="20" fillId="2" borderId="1" xfId="3" applyNumberFormat="1" applyFont="1" applyFill="1" applyBorder="1" applyAlignment="1" applyProtection="1">
      <alignment horizontal="center" vertical="center" wrapText="1"/>
      <protection hidden="1"/>
    </xf>
    <xf numFmtId="178" fontId="30" fillId="2" borderId="3" xfId="3" applyNumberFormat="1" applyFont="1" applyFill="1" applyBorder="1" applyAlignment="1" applyProtection="1">
      <alignment vertical="center"/>
      <protection hidden="1"/>
    </xf>
    <xf numFmtId="38" fontId="26" fillId="0" borderId="0" xfId="3" applyFont="1" applyBorder="1" applyAlignment="1" applyProtection="1">
      <alignment vertical="center"/>
      <protection hidden="1"/>
    </xf>
    <xf numFmtId="38" fontId="20" fillId="2" borderId="4" xfId="3" applyFont="1" applyFill="1" applyBorder="1" applyAlignment="1" applyProtection="1">
      <alignment horizontal="center" vertical="center"/>
      <protection hidden="1"/>
    </xf>
    <xf numFmtId="38" fontId="20" fillId="2" borderId="0" xfId="3" applyFont="1" applyFill="1" applyBorder="1" applyAlignment="1" applyProtection="1">
      <alignment horizontal="center" vertical="center"/>
      <protection hidden="1"/>
    </xf>
    <xf numFmtId="0" fontId="20" fillId="2" borderId="0" xfId="3" applyNumberFormat="1" applyFont="1" applyFill="1" applyBorder="1" applyAlignment="1" applyProtection="1">
      <alignment horizontal="center" vertical="center" wrapText="1"/>
      <protection hidden="1"/>
    </xf>
    <xf numFmtId="38" fontId="30" fillId="2" borderId="1" xfId="3" applyFont="1" applyFill="1" applyBorder="1" applyAlignment="1" applyProtection="1">
      <alignment vertical="center"/>
      <protection hidden="1"/>
    </xf>
    <xf numFmtId="0" fontId="25" fillId="2" borderId="1" xfId="0" applyNumberFormat="1" applyFont="1" applyFill="1" applyBorder="1" applyAlignment="1" applyProtection="1">
      <alignment horizontal="distributed" vertical="center"/>
      <protection hidden="1"/>
    </xf>
    <xf numFmtId="0" fontId="21" fillId="0" borderId="0" xfId="0" applyNumberFormat="1" applyFont="1" applyBorder="1" applyAlignment="1" applyProtection="1">
      <alignment horizontal="distributed" vertical="center"/>
      <protection hidden="1"/>
    </xf>
    <xf numFmtId="38" fontId="23" fillId="2" borderId="5" xfId="3" applyFont="1" applyFill="1" applyBorder="1" applyAlignment="1" applyProtection="1">
      <alignment horizontal="distributed" vertical="center"/>
      <protection hidden="1"/>
    </xf>
    <xf numFmtId="38" fontId="25" fillId="2" borderId="6" xfId="3" applyFont="1" applyFill="1" applyBorder="1" applyAlignment="1" applyProtection="1">
      <alignment vertical="center"/>
      <protection hidden="1"/>
    </xf>
    <xf numFmtId="38" fontId="25" fillId="2" borderId="2" xfId="3" applyFont="1" applyFill="1" applyBorder="1" applyAlignment="1" applyProtection="1">
      <alignment vertical="center"/>
      <protection hidden="1"/>
    </xf>
    <xf numFmtId="38" fontId="23" fillId="2" borderId="7" xfId="3" applyFont="1" applyFill="1" applyBorder="1" applyAlignment="1" applyProtection="1">
      <alignment horizontal="distributed" vertical="center"/>
      <protection hidden="1"/>
    </xf>
    <xf numFmtId="38" fontId="25" fillId="2" borderId="8" xfId="3" applyFont="1" applyFill="1" applyBorder="1" applyAlignment="1" applyProtection="1">
      <alignment vertical="center"/>
      <protection hidden="1"/>
    </xf>
    <xf numFmtId="38" fontId="23" fillId="2" borderId="2" xfId="3" applyFont="1" applyFill="1" applyBorder="1" applyAlignment="1" applyProtection="1">
      <alignment horizontal="distributed" vertical="center"/>
      <protection hidden="1"/>
    </xf>
    <xf numFmtId="38" fontId="24" fillId="0" borderId="0" xfId="3" applyFont="1" applyBorder="1" applyAlignment="1" applyProtection="1">
      <alignment vertical="center"/>
      <protection hidden="1"/>
    </xf>
    <xf numFmtId="38" fontId="23" fillId="2" borderId="0" xfId="3" applyFont="1" applyFill="1" applyBorder="1" applyAlignment="1" applyProtection="1">
      <alignment horizontal="distributed" vertical="center"/>
      <protection hidden="1"/>
    </xf>
    <xf numFmtId="38" fontId="23" fillId="2" borderId="9" xfId="3" applyFont="1" applyFill="1" applyBorder="1" applyAlignment="1" applyProtection="1">
      <alignment horizontal="distributed" vertical="center"/>
      <protection hidden="1"/>
    </xf>
    <xf numFmtId="38" fontId="20" fillId="2" borderId="8" xfId="3" applyFont="1" applyFill="1" applyBorder="1" applyAlignment="1" applyProtection="1">
      <alignment horizontal="distributed" vertical="center"/>
      <protection hidden="1"/>
    </xf>
    <xf numFmtId="38" fontId="20" fillId="2" borderId="0" xfId="3" applyFont="1" applyFill="1" applyBorder="1" applyAlignment="1" applyProtection="1">
      <alignment horizontal="distributed" vertical="center"/>
      <protection hidden="1"/>
    </xf>
    <xf numFmtId="178" fontId="30" fillId="2" borderId="1" xfId="0" applyNumberFormat="1" applyFont="1" applyFill="1" applyBorder="1" applyProtection="1">
      <alignment vertical="center"/>
      <protection hidden="1"/>
    </xf>
    <xf numFmtId="38" fontId="24" fillId="0" borderId="0" xfId="3" applyFont="1" applyBorder="1" applyAlignment="1" applyProtection="1">
      <alignment horizontal="distributed" vertical="center"/>
      <protection hidden="1"/>
    </xf>
    <xf numFmtId="38" fontId="21" fillId="0" borderId="0" xfId="3" applyFont="1" applyBorder="1" applyAlignment="1" applyProtection="1">
      <alignment horizontal="center" vertical="center"/>
      <protection hidden="1"/>
    </xf>
    <xf numFmtId="0" fontId="23" fillId="2" borderId="10" xfId="3" applyNumberFormat="1" applyFont="1" applyFill="1" applyBorder="1" applyAlignment="1" applyProtection="1">
      <alignment horizontal="distributed" vertical="center" wrapText="1"/>
      <protection hidden="1"/>
    </xf>
    <xf numFmtId="38" fontId="20" fillId="2" borderId="11" xfId="3" applyFont="1" applyFill="1" applyBorder="1" applyAlignment="1" applyProtection="1">
      <alignment horizontal="center" vertical="center"/>
      <protection hidden="1"/>
    </xf>
    <xf numFmtId="38" fontId="20" fillId="2" borderId="12" xfId="3" applyFont="1" applyFill="1" applyBorder="1" applyAlignment="1" applyProtection="1">
      <alignment horizontal="center" vertical="center"/>
      <protection hidden="1"/>
    </xf>
    <xf numFmtId="38" fontId="25" fillId="2" borderId="6" xfId="0" applyNumberFormat="1" applyFont="1" applyFill="1" applyBorder="1" applyProtection="1">
      <alignment vertical="center"/>
      <protection hidden="1"/>
    </xf>
    <xf numFmtId="38" fontId="25" fillId="2" borderId="13" xfId="3" applyFont="1" applyFill="1" applyBorder="1" applyAlignment="1" applyProtection="1">
      <alignment vertical="center"/>
      <protection hidden="1"/>
    </xf>
    <xf numFmtId="38" fontId="23" fillId="2" borderId="14" xfId="3" applyFont="1" applyFill="1" applyBorder="1" applyAlignment="1" applyProtection="1">
      <alignment horizontal="distributed" vertical="center" wrapText="1"/>
      <protection hidden="1"/>
    </xf>
    <xf numFmtId="38" fontId="20" fillId="2" borderId="3" xfId="3" applyFont="1" applyFill="1" applyBorder="1" applyAlignment="1" applyProtection="1">
      <alignment horizontal="center" vertical="center" wrapText="1"/>
      <protection hidden="1"/>
    </xf>
    <xf numFmtId="38" fontId="25" fillId="2" borderId="1" xfId="0" applyNumberFormat="1" applyFont="1" applyFill="1" applyBorder="1" applyProtection="1">
      <alignment vertical="center"/>
      <protection hidden="1"/>
    </xf>
    <xf numFmtId="0" fontId="23" fillId="2" borderId="7" xfId="0" applyNumberFormat="1" applyFont="1" applyFill="1" applyBorder="1" applyAlignment="1" applyProtection="1">
      <alignment horizontal="distributed" vertical="center"/>
      <protection hidden="1"/>
    </xf>
    <xf numFmtId="38" fontId="25" fillId="2" borderId="8" xfId="3" applyFont="1" applyFill="1" applyBorder="1" applyAlignment="1" applyProtection="1">
      <alignment horizontal="right" vertical="center"/>
      <protection hidden="1"/>
    </xf>
    <xf numFmtId="38" fontId="30" fillId="2" borderId="1" xfId="0" applyNumberFormat="1" applyFont="1" applyFill="1" applyBorder="1" applyProtection="1">
      <alignment vertical="center"/>
      <protection hidden="1"/>
    </xf>
    <xf numFmtId="0" fontId="21" fillId="2" borderId="0" xfId="0" applyNumberFormat="1" applyFont="1" applyFill="1" applyBorder="1" applyAlignment="1" applyProtection="1">
      <alignment horizontal="distributed" vertical="center"/>
      <protection hidden="1"/>
    </xf>
    <xf numFmtId="38" fontId="23" fillId="2" borderId="7" xfId="3" applyFont="1" applyFill="1" applyBorder="1" applyAlignment="1" applyProtection="1">
      <alignment horizontal="distributed" vertical="center" wrapText="1"/>
      <protection hidden="1"/>
    </xf>
    <xf numFmtId="38" fontId="25" fillId="2" borderId="8" xfId="3" applyFont="1" applyFill="1" applyBorder="1" applyAlignment="1" applyProtection="1">
      <alignment horizontal="right" vertical="center" wrapText="1"/>
      <protection hidden="1"/>
    </xf>
    <xf numFmtId="38" fontId="25" fillId="2" borderId="2" xfId="3" applyFont="1" applyFill="1" applyBorder="1" applyAlignment="1" applyProtection="1">
      <alignment horizontal="right" vertical="center"/>
      <protection hidden="1"/>
    </xf>
    <xf numFmtId="0" fontId="23" fillId="2" borderId="5" xfId="0" applyNumberFormat="1" applyFont="1" applyFill="1" applyBorder="1" applyAlignment="1" applyProtection="1">
      <alignment horizontal="distributed" vertical="center"/>
      <protection hidden="1"/>
    </xf>
    <xf numFmtId="38" fontId="25" fillId="2" borderId="12" xfId="3" applyFont="1" applyFill="1" applyBorder="1" applyAlignment="1" applyProtection="1">
      <alignment vertical="center"/>
      <protection hidden="1"/>
    </xf>
    <xf numFmtId="178" fontId="30" fillId="2" borderId="6" xfId="0" applyNumberFormat="1" applyFont="1" applyFill="1" applyBorder="1" applyProtection="1">
      <alignment vertical="center"/>
      <protection hidden="1"/>
    </xf>
    <xf numFmtId="38" fontId="21" fillId="0" borderId="0" xfId="3" applyFont="1" applyBorder="1" applyProtection="1">
      <alignment vertical="center"/>
      <protection hidden="1"/>
    </xf>
    <xf numFmtId="38" fontId="21" fillId="0" borderId="0" xfId="0" applyNumberFormat="1" applyFont="1" applyBorder="1" applyAlignment="1" applyProtection="1">
      <alignment vertical="center"/>
      <protection hidden="1"/>
    </xf>
    <xf numFmtId="38" fontId="25" fillId="2" borderId="6" xfId="3" applyFont="1" applyFill="1" applyBorder="1" applyAlignment="1" applyProtection="1">
      <alignment horizontal="right" vertical="center"/>
      <protection hidden="1"/>
    </xf>
    <xf numFmtId="38" fontId="25" fillId="2" borderId="6" xfId="3" applyFont="1" applyFill="1" applyBorder="1" applyAlignment="1" applyProtection="1">
      <alignment horizontal="right" vertical="center" wrapText="1"/>
      <protection hidden="1"/>
    </xf>
    <xf numFmtId="38" fontId="25" fillId="2" borderId="15" xfId="3" applyFont="1" applyFill="1" applyBorder="1" applyAlignment="1" applyProtection="1">
      <alignment horizontal="right" vertical="center"/>
      <protection hidden="1"/>
    </xf>
    <xf numFmtId="38" fontId="25" fillId="2" borderId="16" xfId="3" applyFont="1" applyFill="1" applyBorder="1" applyAlignment="1" applyProtection="1">
      <alignment horizontal="right" vertical="center"/>
      <protection hidden="1"/>
    </xf>
    <xf numFmtId="38" fontId="30" fillId="2" borderId="6" xfId="0" applyNumberFormat="1" applyFont="1" applyFill="1" applyBorder="1" applyProtection="1">
      <alignment vertical="center"/>
      <protection hidden="1"/>
    </xf>
    <xf numFmtId="38" fontId="23" fillId="2" borderId="5" xfId="3" applyFont="1" applyFill="1" applyBorder="1" applyAlignment="1" applyProtection="1">
      <alignment horizontal="distributed" vertical="center" wrapText="1"/>
      <protection hidden="1"/>
    </xf>
    <xf numFmtId="38" fontId="25" fillId="2" borderId="6" xfId="3" applyFont="1" applyFill="1" applyBorder="1" applyAlignment="1" applyProtection="1">
      <alignment vertical="center" wrapText="1"/>
      <protection hidden="1"/>
    </xf>
    <xf numFmtId="38" fontId="24" fillId="0" borderId="0" xfId="3" applyFont="1" applyBorder="1" applyAlignment="1" applyProtection="1">
      <alignment horizontal="center" vertical="center" wrapText="1" shrinkToFit="1"/>
      <protection hidden="1"/>
    </xf>
    <xf numFmtId="38" fontId="21" fillId="0" borderId="0" xfId="3" applyFont="1" applyBorder="1" applyAlignment="1" applyProtection="1">
      <alignment horizontal="right" vertical="center"/>
      <protection hidden="1"/>
    </xf>
    <xf numFmtId="0" fontId="23" fillId="2" borderId="1" xfId="0" applyNumberFormat="1" applyFont="1" applyFill="1" applyBorder="1" applyAlignment="1" applyProtection="1">
      <alignment vertical="center" wrapText="1"/>
      <protection hidden="1"/>
    </xf>
    <xf numFmtId="38" fontId="25" fillId="2" borderId="6" xfId="3" applyFont="1" applyFill="1" applyBorder="1" applyAlignment="1" applyProtection="1">
      <alignment vertical="center" shrinkToFit="1"/>
      <protection hidden="1"/>
    </xf>
    <xf numFmtId="38" fontId="25" fillId="2" borderId="2" xfId="3" applyFont="1" applyFill="1" applyBorder="1" applyAlignment="1" applyProtection="1">
      <alignment horizontal="right" vertical="center" wrapText="1"/>
      <protection hidden="1"/>
    </xf>
    <xf numFmtId="38" fontId="20" fillId="2" borderId="6" xfId="3" applyFont="1" applyFill="1" applyBorder="1" applyAlignment="1" applyProtection="1">
      <alignment horizontal="center" vertical="center" wrapText="1"/>
      <protection hidden="1"/>
    </xf>
    <xf numFmtId="38" fontId="20" fillId="2" borderId="16" xfId="3" applyFont="1" applyFill="1" applyBorder="1" applyAlignment="1" applyProtection="1">
      <alignment horizontal="center" vertical="center" wrapText="1"/>
      <protection locked="0" hidden="1"/>
    </xf>
    <xf numFmtId="38" fontId="20" fillId="2" borderId="4" xfId="3" applyFont="1" applyFill="1" applyBorder="1" applyAlignment="1" applyProtection="1">
      <alignment horizontal="center" vertical="center" wrapText="1"/>
      <protection hidden="1"/>
    </xf>
    <xf numFmtId="38" fontId="20" fillId="2" borderId="0" xfId="3" applyFont="1" applyFill="1" applyBorder="1" applyAlignment="1" applyProtection="1">
      <alignment horizontal="center" vertical="center" wrapText="1"/>
      <protection hidden="1"/>
    </xf>
    <xf numFmtId="38" fontId="27" fillId="0" borderId="0" xfId="3" applyFont="1" applyBorder="1" applyAlignment="1" applyProtection="1">
      <alignment horizontal="center" vertical="center" wrapText="1"/>
      <protection hidden="1"/>
    </xf>
    <xf numFmtId="0" fontId="21" fillId="2" borderId="0" xfId="3" applyNumberFormat="1" applyFont="1" applyFill="1" applyBorder="1" applyAlignment="1" applyProtection="1">
      <alignment vertical="center"/>
      <protection hidden="1"/>
    </xf>
    <xf numFmtId="38" fontId="25" fillId="2" borderId="1" xfId="3" applyNumberFormat="1" applyFont="1" applyFill="1" applyBorder="1" applyAlignment="1" applyProtection="1">
      <alignment vertical="center"/>
      <protection hidden="1"/>
    </xf>
    <xf numFmtId="0" fontId="21" fillId="0" borderId="4" xfId="0" applyNumberFormat="1" applyFont="1" applyBorder="1" applyAlignment="1" applyProtection="1">
      <alignment horizontal="distributed" vertical="center"/>
      <protection hidden="1"/>
    </xf>
    <xf numFmtId="38" fontId="19" fillId="0" borderId="0" xfId="3" applyFont="1" applyBorder="1" applyAlignment="1" applyProtection="1">
      <alignment vertical="center"/>
      <protection hidden="1"/>
    </xf>
    <xf numFmtId="38" fontId="21" fillId="0" borderId="0" xfId="3" applyNumberFormat="1" applyFont="1" applyBorder="1" applyAlignment="1" applyProtection="1">
      <alignment vertical="center"/>
      <protection hidden="1"/>
    </xf>
    <xf numFmtId="177" fontId="21" fillId="0" borderId="0" xfId="3" applyNumberFormat="1" applyFont="1" applyBorder="1" applyAlignment="1" applyProtection="1">
      <alignment vertical="center"/>
      <protection hidden="1"/>
    </xf>
    <xf numFmtId="176" fontId="21" fillId="0" borderId="0" xfId="3" applyNumberFormat="1" applyFont="1" applyBorder="1" applyAlignment="1" applyProtection="1">
      <alignment vertical="center"/>
      <protection hidden="1"/>
    </xf>
    <xf numFmtId="38" fontId="21" fillId="0" borderId="0" xfId="3" applyFont="1" applyFill="1" applyBorder="1" applyProtection="1">
      <alignment vertical="center"/>
      <protection hidden="1"/>
    </xf>
    <xf numFmtId="0" fontId="21" fillId="0" borderId="0" xfId="0" applyNumberFormat="1" applyFont="1" applyFill="1" applyBorder="1" applyAlignment="1" applyProtection="1">
      <alignment vertical="center"/>
      <protection hidden="1"/>
    </xf>
    <xf numFmtId="0" fontId="9" fillId="2" borderId="17" xfId="0" applyNumberFormat="1" applyFont="1" applyFill="1" applyBorder="1" applyAlignment="1" applyProtection="1">
      <alignment horizontal="distributed" vertical="center" wrapText="1"/>
      <protection hidden="1"/>
    </xf>
    <xf numFmtId="0" fontId="9" fillId="2" borderId="17" xfId="0" applyNumberFormat="1" applyFont="1" applyFill="1" applyBorder="1" applyAlignment="1" applyProtection="1">
      <alignment horizontal="distributed" vertical="center"/>
      <protection hidden="1"/>
    </xf>
    <xf numFmtId="0" fontId="3" fillId="2" borderId="1" xfId="0" applyFont="1" applyFill="1" applyBorder="1" applyAlignment="1" applyProtection="1">
      <alignment horizontal="distributed" vertical="center"/>
      <protection hidden="1"/>
    </xf>
    <xf numFmtId="0" fontId="7" fillId="2" borderId="18" xfId="0" applyFont="1" applyFill="1" applyBorder="1" applyAlignment="1" applyProtection="1">
      <alignment horizontal="center" vertical="center"/>
      <protection hidden="1"/>
    </xf>
    <xf numFmtId="0" fontId="7" fillId="2" borderId="19" xfId="0" applyFont="1" applyFill="1" applyBorder="1" applyAlignment="1" applyProtection="1">
      <alignment horizontal="center" vertical="center"/>
      <protection hidden="1"/>
    </xf>
    <xf numFmtId="0" fontId="4" fillId="2" borderId="19" xfId="0" applyFont="1" applyFill="1" applyBorder="1" applyAlignment="1" applyProtection="1">
      <alignment horizontal="center" vertical="center"/>
      <protection hidden="1"/>
    </xf>
    <xf numFmtId="38" fontId="4" fillId="2" borderId="20" xfId="3" applyFont="1" applyFill="1" applyBorder="1" applyProtection="1">
      <alignment vertical="center"/>
      <protection hidden="1"/>
    </xf>
    <xf numFmtId="38" fontId="4" fillId="2" borderId="21" xfId="3" applyFont="1" applyFill="1" applyBorder="1" applyProtection="1">
      <alignment vertical="center"/>
      <protection hidden="1"/>
    </xf>
    <xf numFmtId="38" fontId="4" fillId="2" borderId="22" xfId="3" applyFont="1" applyFill="1" applyBorder="1" applyProtection="1">
      <alignment vertical="center"/>
      <protection hidden="1"/>
    </xf>
    <xf numFmtId="38" fontId="4" fillId="2" borderId="23" xfId="3" applyFont="1" applyFill="1" applyBorder="1" applyProtection="1">
      <alignment vertical="center"/>
      <protection hidden="1"/>
    </xf>
    <xf numFmtId="38" fontId="4" fillId="2" borderId="24" xfId="3" applyFont="1" applyFill="1" applyBorder="1" applyProtection="1">
      <alignment vertical="center"/>
      <protection hidden="1"/>
    </xf>
    <xf numFmtId="38" fontId="4" fillId="2" borderId="13" xfId="3" applyFont="1" applyFill="1" applyBorder="1" applyProtection="1">
      <alignment vertical="center"/>
      <protection hidden="1"/>
    </xf>
    <xf numFmtId="38" fontId="4" fillId="2" borderId="3" xfId="3" applyFont="1" applyFill="1" applyBorder="1" applyProtection="1">
      <alignment vertical="center"/>
      <protection hidden="1"/>
    </xf>
    <xf numFmtId="38" fontId="4" fillId="2" borderId="25" xfId="3" applyFont="1" applyFill="1" applyBorder="1" applyProtection="1">
      <alignment vertical="center"/>
      <protection hidden="1"/>
    </xf>
    <xf numFmtId="38" fontId="4" fillId="2" borderId="12" xfId="3" applyFont="1" applyFill="1" applyBorder="1" applyProtection="1">
      <alignment vertical="center"/>
      <protection hidden="1"/>
    </xf>
    <xf numFmtId="38" fontId="4" fillId="2" borderId="1" xfId="3" applyFont="1" applyFill="1" applyBorder="1" applyProtection="1">
      <alignment vertical="center"/>
      <protection hidden="1"/>
    </xf>
    <xf numFmtId="38" fontId="4" fillId="2" borderId="17" xfId="3" applyFont="1" applyFill="1" applyBorder="1" applyProtection="1">
      <alignment vertical="center"/>
      <protection hidden="1"/>
    </xf>
    <xf numFmtId="38" fontId="4" fillId="2" borderId="26" xfId="3" applyFont="1" applyFill="1" applyBorder="1" applyProtection="1">
      <alignment vertical="center"/>
      <protection hidden="1"/>
    </xf>
    <xf numFmtId="38" fontId="4" fillId="2" borderId="27" xfId="3" applyFont="1" applyFill="1" applyBorder="1" applyProtection="1">
      <alignment vertical="center"/>
      <protection hidden="1"/>
    </xf>
    <xf numFmtId="38" fontId="4" fillId="2" borderId="28" xfId="3" applyFont="1" applyFill="1" applyBorder="1" applyProtection="1">
      <alignment vertical="center"/>
      <protection hidden="1"/>
    </xf>
    <xf numFmtId="38" fontId="4" fillId="2" borderId="29" xfId="3" applyFont="1" applyFill="1" applyBorder="1" applyProtection="1">
      <alignment vertical="center"/>
      <protection hidden="1"/>
    </xf>
    <xf numFmtId="38" fontId="4" fillId="2" borderId="30" xfId="3" applyFont="1" applyFill="1" applyBorder="1" applyProtection="1">
      <alignment vertical="center"/>
      <protection hidden="1"/>
    </xf>
    <xf numFmtId="38" fontId="4" fillId="2" borderId="31" xfId="3" applyFont="1" applyFill="1" applyBorder="1" applyProtection="1">
      <alignment vertical="center"/>
      <protection hidden="1"/>
    </xf>
    <xf numFmtId="38" fontId="4" fillId="2" borderId="32" xfId="3" applyFont="1" applyFill="1" applyBorder="1" applyProtection="1">
      <alignment vertical="center"/>
      <protection hidden="1"/>
    </xf>
    <xf numFmtId="38" fontId="4" fillId="2" borderId="33" xfId="3" applyFont="1" applyFill="1" applyBorder="1" applyProtection="1">
      <alignment vertical="center"/>
      <protection hidden="1"/>
    </xf>
    <xf numFmtId="38" fontId="4" fillId="2" borderId="34" xfId="3" applyFont="1" applyFill="1" applyBorder="1" applyProtection="1">
      <alignment vertical="center"/>
      <protection hidden="1"/>
    </xf>
    <xf numFmtId="38" fontId="4" fillId="2" borderId="32" xfId="0" applyNumberFormat="1" applyFont="1" applyFill="1" applyBorder="1" applyAlignment="1" applyProtection="1">
      <alignment vertical="center"/>
      <protection hidden="1"/>
    </xf>
    <xf numFmtId="38" fontId="4" fillId="2" borderId="18" xfId="3" applyFont="1" applyFill="1" applyBorder="1" applyAlignment="1" applyProtection="1">
      <alignment vertical="center"/>
      <protection hidden="1"/>
    </xf>
    <xf numFmtId="38" fontId="4" fillId="2" borderId="35" xfId="3" applyFont="1" applyFill="1" applyBorder="1" applyAlignment="1" applyProtection="1">
      <alignment vertical="center"/>
      <protection hidden="1"/>
    </xf>
    <xf numFmtId="0" fontId="11" fillId="2" borderId="1" xfId="0" applyNumberFormat="1" applyFont="1" applyFill="1" applyBorder="1" applyAlignment="1" applyProtection="1">
      <alignment horizontal="distributed" vertical="center"/>
      <protection hidden="1"/>
    </xf>
    <xf numFmtId="0" fontId="11" fillId="2" borderId="36" xfId="0" applyFont="1" applyFill="1" applyBorder="1" applyAlignment="1" applyProtection="1">
      <alignment horizontal="distributed" vertical="center"/>
      <protection hidden="1"/>
    </xf>
    <xf numFmtId="0" fontId="11" fillId="2" borderId="37" xfId="0" applyFont="1" applyFill="1" applyBorder="1" applyAlignment="1" applyProtection="1">
      <alignment horizontal="distributed" vertical="center"/>
      <protection hidden="1"/>
    </xf>
    <xf numFmtId="0" fontId="11" fillId="2" borderId="38" xfId="0" applyFont="1" applyFill="1" applyBorder="1" applyAlignment="1" applyProtection="1">
      <alignment horizontal="distributed" vertical="center" indent="1"/>
      <protection hidden="1"/>
    </xf>
    <xf numFmtId="0" fontId="11" fillId="2" borderId="1" xfId="0" applyFont="1" applyFill="1" applyBorder="1" applyAlignment="1" applyProtection="1">
      <alignment horizontal="distributed" vertical="center"/>
      <protection hidden="1"/>
    </xf>
    <xf numFmtId="0" fontId="16" fillId="2" borderId="7" xfId="0" applyFont="1" applyFill="1" applyBorder="1" applyAlignment="1" applyProtection="1">
      <alignment horizontal="center" vertical="center"/>
      <protection hidden="1"/>
    </xf>
    <xf numFmtId="0" fontId="16" fillId="2" borderId="1" xfId="0" applyFont="1" applyFill="1" applyBorder="1" applyAlignment="1" applyProtection="1">
      <alignment horizontal="center" vertical="center"/>
      <protection hidden="1"/>
    </xf>
    <xf numFmtId="38" fontId="4" fillId="2" borderId="39" xfId="3" applyFont="1" applyFill="1" applyBorder="1" applyProtection="1">
      <alignment vertical="center"/>
      <protection hidden="1"/>
    </xf>
    <xf numFmtId="38" fontId="4" fillId="2" borderId="7" xfId="3" applyFont="1" applyFill="1" applyBorder="1" applyProtection="1">
      <alignment vertical="center"/>
      <protection hidden="1"/>
    </xf>
    <xf numFmtId="38" fontId="4" fillId="2" borderId="1" xfId="3" applyFont="1" applyFill="1" applyBorder="1" applyAlignment="1" applyProtection="1">
      <alignment horizontal="right" vertical="center"/>
      <protection hidden="1"/>
    </xf>
    <xf numFmtId="0" fontId="16" fillId="2" borderId="40" xfId="0" applyFont="1" applyFill="1" applyBorder="1" applyAlignment="1" applyProtection="1">
      <alignment horizontal="center" vertical="center"/>
      <protection hidden="1"/>
    </xf>
    <xf numFmtId="0" fontId="14" fillId="2" borderId="1" xfId="0" applyFont="1" applyFill="1" applyBorder="1" applyAlignment="1" applyProtection="1">
      <alignment horizontal="center" vertical="center"/>
      <protection hidden="1"/>
    </xf>
    <xf numFmtId="38" fontId="6" fillId="2" borderId="1" xfId="3" applyFont="1" applyFill="1" applyBorder="1" applyAlignment="1" applyProtection="1">
      <alignment horizontal="center" vertical="center"/>
      <protection hidden="1"/>
    </xf>
    <xf numFmtId="0" fontId="28" fillId="0" borderId="6" xfId="0" applyFont="1" applyFill="1" applyBorder="1" applyAlignment="1" applyProtection="1">
      <alignment horizontal="left" vertical="center"/>
      <protection hidden="1"/>
    </xf>
    <xf numFmtId="38" fontId="24" fillId="2" borderId="1" xfId="0" applyNumberFormat="1" applyFont="1" applyFill="1" applyBorder="1" applyAlignment="1" applyProtection="1">
      <alignment horizontal="center" vertical="center"/>
      <protection hidden="1"/>
    </xf>
    <xf numFmtId="0" fontId="4" fillId="0" borderId="0" xfId="0" applyFont="1" applyProtection="1">
      <alignment vertical="center"/>
      <protection hidden="1"/>
    </xf>
    <xf numFmtId="0" fontId="11" fillId="0" borderId="0" xfId="0" applyNumberFormat="1" applyFont="1" applyFill="1" applyBorder="1" applyAlignment="1" applyProtection="1">
      <alignment horizontal="distributed" vertical="center"/>
      <protection hidden="1"/>
    </xf>
    <xf numFmtId="0" fontId="16" fillId="0" borderId="0" xfId="0" applyFont="1" applyFill="1" applyProtection="1">
      <alignment vertical="center"/>
      <protection hidden="1"/>
    </xf>
    <xf numFmtId="0" fontId="1" fillId="0" borderId="0" xfId="0" applyFont="1" applyProtection="1">
      <alignment vertical="center"/>
      <protection locked="0" hidden="1"/>
    </xf>
    <xf numFmtId="0" fontId="4" fillId="0" borderId="0" xfId="0" applyFont="1" applyProtection="1">
      <alignment vertical="center"/>
      <protection locked="0" hidden="1"/>
    </xf>
    <xf numFmtId="0" fontId="13" fillId="0" borderId="0" xfId="0" applyFont="1" applyProtection="1">
      <alignment vertical="center"/>
      <protection locked="0" hidden="1"/>
    </xf>
    <xf numFmtId="0" fontId="28" fillId="0" borderId="0" xfId="0" applyFont="1" applyAlignment="1" applyProtection="1">
      <alignment horizontal="left" vertical="center"/>
      <protection locked="0" hidden="1"/>
    </xf>
    <xf numFmtId="0" fontId="15" fillId="0" borderId="0" xfId="0" applyFont="1" applyBorder="1" applyProtection="1">
      <alignment vertical="center"/>
      <protection locked="0" hidden="1"/>
    </xf>
    <xf numFmtId="0" fontId="15" fillId="0" borderId="0" xfId="0" applyFont="1" applyProtection="1">
      <alignment vertical="center"/>
      <protection locked="0" hidden="1"/>
    </xf>
    <xf numFmtId="0" fontId="13" fillId="0" borderId="0" xfId="0" applyFont="1" applyBorder="1" applyProtection="1">
      <alignment vertical="center"/>
      <protection locked="0" hidden="1"/>
    </xf>
    <xf numFmtId="0" fontId="13" fillId="0" borderId="0" xfId="0" applyFont="1" applyBorder="1" applyAlignment="1" applyProtection="1">
      <alignment horizontal="center" vertical="center"/>
      <protection locked="0" hidden="1"/>
    </xf>
    <xf numFmtId="38" fontId="4" fillId="0" borderId="0" xfId="3" applyFont="1" applyBorder="1" applyProtection="1">
      <alignment vertical="center"/>
      <protection locked="0" hidden="1"/>
    </xf>
    <xf numFmtId="38" fontId="13" fillId="0" borderId="0" xfId="0" applyNumberFormat="1" applyFont="1" applyProtection="1">
      <alignment vertical="center"/>
      <protection locked="0" hidden="1"/>
    </xf>
    <xf numFmtId="0" fontId="3" fillId="0" borderId="0" xfId="0" applyFont="1" applyBorder="1" applyAlignment="1" applyProtection="1">
      <alignment horizontal="distributed" vertical="center"/>
      <protection locked="0" hidden="1"/>
    </xf>
    <xf numFmtId="0" fontId="17" fillId="0" borderId="0" xfId="0" applyFont="1" applyProtection="1">
      <alignment vertical="center"/>
      <protection locked="0" hidden="1"/>
    </xf>
    <xf numFmtId="38" fontId="4" fillId="0" borderId="0" xfId="3" applyFont="1" applyFill="1" applyBorder="1" applyProtection="1">
      <alignment vertical="center"/>
      <protection locked="0" hidden="1"/>
    </xf>
    <xf numFmtId="38" fontId="4" fillId="0" borderId="0" xfId="3" applyFont="1" applyFill="1" applyBorder="1" applyAlignment="1" applyProtection="1">
      <alignment vertical="center"/>
      <protection locked="0" hidden="1"/>
    </xf>
    <xf numFmtId="0" fontId="16" fillId="0" borderId="0" xfId="0" applyFont="1" applyFill="1" applyProtection="1">
      <alignment vertical="center"/>
      <protection locked="0" hidden="1"/>
    </xf>
    <xf numFmtId="0" fontId="14" fillId="0" borderId="4" xfId="0" applyFont="1" applyFill="1" applyBorder="1" applyAlignment="1" applyProtection="1">
      <alignment vertical="center"/>
      <protection locked="0" hidden="1"/>
    </xf>
    <xf numFmtId="0" fontId="4" fillId="0" borderId="12" xfId="0" applyFont="1" applyFill="1" applyBorder="1" applyProtection="1">
      <alignment vertical="center"/>
      <protection locked="0" hidden="1"/>
    </xf>
    <xf numFmtId="0" fontId="13" fillId="0" borderId="4" xfId="0" applyFont="1" applyBorder="1" applyProtection="1">
      <alignment vertical="center"/>
      <protection locked="0" hidden="1"/>
    </xf>
    <xf numFmtId="38" fontId="4" fillId="0" borderId="0" xfId="0" applyNumberFormat="1" applyFont="1" applyFill="1" applyBorder="1" applyProtection="1">
      <alignment vertical="center"/>
      <protection locked="0" hidden="1"/>
    </xf>
    <xf numFmtId="0" fontId="4" fillId="0" borderId="42" xfId="0" applyFont="1" applyFill="1" applyBorder="1" applyProtection="1">
      <alignment vertical="center"/>
      <protection locked="0" hidden="1"/>
    </xf>
    <xf numFmtId="0" fontId="4" fillId="0" borderId="0" xfId="0" applyFont="1" applyFill="1" applyBorder="1" applyProtection="1">
      <alignment vertical="center"/>
      <protection locked="0" hidden="1"/>
    </xf>
    <xf numFmtId="38" fontId="4" fillId="0" borderId="0" xfId="3" applyFont="1" applyFill="1" applyBorder="1" applyAlignment="1" applyProtection="1">
      <alignment horizontal="right" vertical="center"/>
      <protection locked="0" hidden="1"/>
    </xf>
    <xf numFmtId="38" fontId="4" fillId="0" borderId="16" xfId="3" applyFont="1" applyFill="1" applyBorder="1" applyAlignment="1" applyProtection="1">
      <alignment horizontal="right" vertical="center"/>
      <protection locked="0" hidden="1"/>
    </xf>
    <xf numFmtId="0" fontId="16" fillId="0" borderId="0" xfId="0" applyFont="1" applyFill="1" applyBorder="1" applyAlignment="1" applyProtection="1">
      <alignment horizontal="center" vertical="center"/>
      <protection locked="0" hidden="1"/>
    </xf>
    <xf numFmtId="0" fontId="15" fillId="0" borderId="0" xfId="0" applyFont="1" applyProtection="1">
      <alignment vertical="center"/>
      <protection locked="0"/>
    </xf>
    <xf numFmtId="13" fontId="4" fillId="0" borderId="44" xfId="0" applyNumberFormat="1" applyFont="1" applyBorder="1" applyAlignment="1" applyProtection="1">
      <alignment horizontal="right" vertical="center"/>
      <protection locked="0"/>
    </xf>
    <xf numFmtId="13" fontId="4" fillId="0" borderId="48" xfId="0" applyNumberFormat="1" applyFont="1" applyBorder="1" applyAlignment="1" applyProtection="1">
      <alignment horizontal="right" vertical="center"/>
      <protection locked="0"/>
    </xf>
    <xf numFmtId="0" fontId="14" fillId="0" borderId="60" xfId="0" applyFont="1" applyBorder="1" applyAlignment="1" applyProtection="1">
      <alignment horizontal="left" vertical="center"/>
      <protection locked="0"/>
    </xf>
    <xf numFmtId="0" fontId="14" fillId="0" borderId="20" xfId="0" applyFont="1" applyBorder="1" applyAlignment="1" applyProtection="1">
      <alignment horizontal="left" vertical="center"/>
      <protection locked="0"/>
    </xf>
    <xf numFmtId="13" fontId="4" fillId="0" borderId="54" xfId="0" applyNumberFormat="1" applyFont="1" applyBorder="1" applyAlignment="1" applyProtection="1">
      <alignment horizontal="right" vertical="center"/>
      <protection locked="0"/>
    </xf>
    <xf numFmtId="13" fontId="4" fillId="0" borderId="40" xfId="0" applyNumberFormat="1" applyFont="1" applyBorder="1" applyAlignment="1" applyProtection="1">
      <alignment horizontal="right" vertical="center"/>
      <protection locked="0"/>
    </xf>
    <xf numFmtId="38" fontId="6" fillId="0" borderId="1" xfId="3" applyFont="1" applyFill="1" applyBorder="1" applyAlignment="1" applyProtection="1">
      <alignment horizontal="center" vertical="center"/>
      <protection locked="0"/>
    </xf>
    <xf numFmtId="38" fontId="4" fillId="0" borderId="4" xfId="0" applyNumberFormat="1" applyFont="1" applyFill="1" applyBorder="1" applyProtection="1">
      <alignment vertical="center"/>
      <protection locked="0"/>
    </xf>
    <xf numFmtId="0" fontId="4" fillId="0" borderId="12" xfId="0" applyFont="1" applyFill="1" applyBorder="1" applyProtection="1">
      <alignment vertical="center"/>
      <protection locked="0"/>
    </xf>
    <xf numFmtId="0" fontId="14" fillId="0" borderId="22" xfId="0" applyFont="1" applyBorder="1" applyAlignment="1" applyProtection="1">
      <alignment horizontal="left" vertical="center"/>
      <protection locked="0"/>
    </xf>
    <xf numFmtId="38" fontId="8" fillId="2" borderId="1" xfId="3" applyFont="1" applyFill="1" applyBorder="1" applyAlignment="1" applyProtection="1">
      <alignment vertical="center" shrinkToFit="1"/>
      <protection hidden="1"/>
    </xf>
    <xf numFmtId="178" fontId="8" fillId="2" borderId="1" xfId="3" applyNumberFormat="1" applyFont="1" applyFill="1" applyBorder="1" applyAlignment="1" applyProtection="1">
      <alignment vertical="center"/>
      <protection hidden="1"/>
    </xf>
    <xf numFmtId="38" fontId="8" fillId="2" borderId="1" xfId="3" applyFont="1" applyFill="1" applyBorder="1" applyAlignment="1" applyProtection="1">
      <alignment vertical="center"/>
      <protection hidden="1"/>
    </xf>
    <xf numFmtId="178" fontId="25" fillId="2" borderId="13" xfId="3" applyNumberFormat="1" applyFont="1" applyFill="1" applyBorder="1" applyAlignment="1" applyProtection="1">
      <alignment vertical="center" shrinkToFit="1"/>
      <protection hidden="1"/>
    </xf>
    <xf numFmtId="178" fontId="25" fillId="2" borderId="61" xfId="3" applyNumberFormat="1" applyFont="1" applyFill="1" applyBorder="1" applyAlignment="1" applyProtection="1">
      <alignment horizontal="right" vertical="center" wrapText="1"/>
      <protection hidden="1"/>
    </xf>
    <xf numFmtId="178" fontId="25" fillId="2" borderId="16" xfId="3" applyNumberFormat="1" applyFont="1" applyFill="1" applyBorder="1" applyAlignment="1" applyProtection="1">
      <alignment horizontal="right" vertical="center" wrapText="1"/>
      <protection hidden="1"/>
    </xf>
    <xf numFmtId="178" fontId="25" fillId="2" borderId="61" xfId="3" applyNumberFormat="1" applyFont="1" applyFill="1" applyBorder="1" applyAlignment="1" applyProtection="1">
      <alignment horizontal="right" vertical="center"/>
      <protection hidden="1"/>
    </xf>
    <xf numFmtId="178" fontId="25" fillId="2" borderId="3" xfId="3" applyNumberFormat="1" applyFont="1" applyFill="1" applyBorder="1" applyAlignment="1" applyProtection="1">
      <alignment horizontal="right" vertical="center"/>
      <protection hidden="1"/>
    </xf>
    <xf numFmtId="178" fontId="25" fillId="2" borderId="3" xfId="3" applyNumberFormat="1" applyFont="1" applyFill="1" applyBorder="1" applyAlignment="1" applyProtection="1">
      <alignment vertical="center"/>
      <protection hidden="1"/>
    </xf>
    <xf numFmtId="178" fontId="25" fillId="2" borderId="3" xfId="3" applyNumberFormat="1" applyFont="1" applyFill="1" applyBorder="1" applyAlignment="1" applyProtection="1">
      <alignment vertical="center" wrapText="1"/>
      <protection hidden="1"/>
    </xf>
    <xf numFmtId="178" fontId="25" fillId="2" borderId="3" xfId="3" applyNumberFormat="1" applyFont="1" applyFill="1" applyBorder="1" applyAlignment="1" applyProtection="1">
      <alignment horizontal="right" vertical="center" wrapText="1"/>
      <protection hidden="1"/>
    </xf>
    <xf numFmtId="178" fontId="25" fillId="2" borderId="1" xfId="3" applyNumberFormat="1" applyFont="1" applyFill="1" applyBorder="1" applyAlignment="1" applyProtection="1">
      <alignment vertical="center" shrinkToFit="1"/>
      <protection hidden="1"/>
    </xf>
    <xf numFmtId="178" fontId="23" fillId="2" borderId="61" xfId="3" applyNumberFormat="1" applyFont="1" applyFill="1" applyBorder="1" applyAlignment="1" applyProtection="1">
      <alignment horizontal="distributed" vertical="center" wrapText="1"/>
      <protection hidden="1"/>
    </xf>
    <xf numFmtId="178" fontId="23" fillId="2" borderId="16" xfId="3" applyNumberFormat="1" applyFont="1" applyFill="1" applyBorder="1" applyAlignment="1" applyProtection="1">
      <alignment horizontal="distributed" vertical="center" wrapText="1"/>
      <protection hidden="1"/>
    </xf>
    <xf numFmtId="178" fontId="23" fillId="2" borderId="61" xfId="3" applyNumberFormat="1" applyFont="1" applyFill="1" applyBorder="1" applyAlignment="1" applyProtection="1">
      <alignment horizontal="distributed" vertical="center"/>
      <protection hidden="1"/>
    </xf>
    <xf numFmtId="178" fontId="20" fillId="2" borderId="3" xfId="3" applyNumberFormat="1" applyFont="1" applyFill="1" applyBorder="1" applyAlignment="1" applyProtection="1">
      <alignment horizontal="center" vertical="center" wrapText="1"/>
      <protection hidden="1"/>
    </xf>
    <xf numFmtId="178" fontId="23" fillId="2" borderId="3" xfId="3" applyNumberFormat="1" applyFont="1" applyFill="1" applyBorder="1" applyAlignment="1" applyProtection="1">
      <alignment horizontal="distributed" vertical="center"/>
      <protection hidden="1"/>
    </xf>
    <xf numFmtId="178" fontId="23" fillId="2" borderId="1" xfId="3" applyNumberFormat="1" applyFont="1" applyFill="1" applyBorder="1" applyAlignment="1" applyProtection="1">
      <alignment horizontal="distributed" vertical="center"/>
      <protection hidden="1"/>
    </xf>
    <xf numFmtId="178" fontId="20" fillId="2" borderId="13" xfId="3" applyNumberFormat="1" applyFont="1" applyFill="1" applyBorder="1" applyAlignment="1" applyProtection="1">
      <alignment horizontal="center" vertical="center" wrapText="1"/>
      <protection hidden="1"/>
    </xf>
    <xf numFmtId="178" fontId="20" fillId="2" borderId="1" xfId="3" applyNumberFormat="1" applyFont="1" applyFill="1" applyBorder="1" applyAlignment="1" applyProtection="1">
      <alignment horizontal="center" vertical="center" wrapText="1"/>
      <protection hidden="1"/>
    </xf>
    <xf numFmtId="178" fontId="25" fillId="2" borderId="3" xfId="3" applyNumberFormat="1" applyFont="1" applyFill="1" applyBorder="1" applyAlignment="1" applyProtection="1">
      <alignment vertical="center"/>
    </xf>
    <xf numFmtId="178" fontId="25" fillId="2" borderId="16" xfId="3" applyNumberFormat="1" applyFont="1" applyFill="1" applyBorder="1" applyAlignment="1" applyProtection="1">
      <alignment vertical="center"/>
      <protection hidden="1"/>
    </xf>
    <xf numFmtId="178" fontId="25" fillId="2" borderId="7" xfId="3" applyNumberFormat="1" applyFont="1" applyFill="1" applyBorder="1" applyAlignment="1" applyProtection="1">
      <alignment vertical="center"/>
      <protection hidden="1"/>
    </xf>
    <xf numFmtId="178" fontId="25" fillId="2" borderId="2" xfId="3" applyNumberFormat="1" applyFont="1" applyFill="1" applyBorder="1" applyAlignment="1" applyProtection="1">
      <alignment vertical="center"/>
      <protection hidden="1"/>
    </xf>
    <xf numFmtId="178" fontId="14" fillId="2" borderId="1" xfId="0" applyNumberFormat="1" applyFont="1" applyFill="1" applyBorder="1" applyProtection="1">
      <alignment vertical="center"/>
      <protection hidden="1"/>
    </xf>
    <xf numFmtId="181" fontId="25" fillId="2" borderId="1" xfId="3" applyNumberFormat="1" applyFont="1" applyFill="1" applyBorder="1" applyAlignment="1" applyProtection="1">
      <alignment vertical="center"/>
      <protection hidden="1"/>
    </xf>
    <xf numFmtId="183" fontId="25" fillId="2" borderId="1" xfId="3" applyNumberFormat="1" applyFont="1" applyFill="1" applyBorder="1" applyAlignment="1" applyProtection="1">
      <alignment vertical="center"/>
      <protection hidden="1"/>
    </xf>
    <xf numFmtId="38" fontId="7" fillId="0" borderId="48" xfId="3" applyFont="1" applyBorder="1" applyProtection="1">
      <alignment vertical="center"/>
      <protection hidden="1"/>
    </xf>
    <xf numFmtId="38" fontId="23" fillId="2" borderId="5" xfId="3" applyFont="1" applyFill="1" applyBorder="1" applyAlignment="1" applyProtection="1">
      <alignment horizontal="center" vertical="center" shrinkToFit="1"/>
      <protection hidden="1"/>
    </xf>
    <xf numFmtId="0" fontId="4" fillId="0" borderId="22" xfId="0" applyFont="1" applyBorder="1" applyAlignment="1" applyProtection="1">
      <alignment horizontal="distributed" vertical="center" shrinkToFit="1"/>
      <protection hidden="1"/>
    </xf>
    <xf numFmtId="0" fontId="4" fillId="0" borderId="60" xfId="0" applyFont="1" applyBorder="1" applyAlignment="1" applyProtection="1">
      <alignment horizontal="distributed" vertical="center" shrinkToFit="1"/>
      <protection hidden="1"/>
    </xf>
    <xf numFmtId="0" fontId="4" fillId="0" borderId="24" xfId="0" applyFont="1" applyBorder="1" applyAlignment="1" applyProtection="1">
      <alignment horizontal="distributed" vertical="center" shrinkToFit="1"/>
      <protection hidden="1"/>
    </xf>
    <xf numFmtId="13" fontId="4" fillId="0" borderId="28" xfId="0" applyNumberFormat="1" applyFont="1" applyBorder="1" applyAlignment="1" applyProtection="1">
      <alignment horizontal="right" vertical="center"/>
      <protection locked="0"/>
    </xf>
    <xf numFmtId="13" fontId="4" fillId="0" borderId="62" xfId="0" applyNumberFormat="1" applyFont="1" applyBorder="1" applyAlignment="1" applyProtection="1">
      <alignment horizontal="right" vertical="center"/>
      <protection locked="0"/>
    </xf>
    <xf numFmtId="13" fontId="4" fillId="0" borderId="50" xfId="0" applyNumberFormat="1" applyFont="1" applyBorder="1" applyAlignment="1" applyProtection="1">
      <alignment horizontal="right" vertical="center"/>
      <protection locked="0"/>
    </xf>
    <xf numFmtId="13" fontId="4" fillId="0" borderId="57" xfId="0" applyNumberFormat="1" applyFont="1" applyBorder="1" applyAlignment="1" applyProtection="1">
      <alignment horizontal="right" vertical="center"/>
      <protection locked="0"/>
    </xf>
    <xf numFmtId="0" fontId="16" fillId="2" borderId="2" xfId="0" applyFont="1" applyFill="1" applyBorder="1" applyAlignment="1" applyProtection="1">
      <alignment horizontal="center" vertical="center"/>
      <protection hidden="1"/>
    </xf>
    <xf numFmtId="13" fontId="4" fillId="0" borderId="63" xfId="0" applyNumberFormat="1" applyFont="1" applyBorder="1" applyAlignment="1" applyProtection="1">
      <alignment horizontal="right" vertical="center"/>
      <protection locked="0"/>
    </xf>
    <xf numFmtId="13" fontId="4" fillId="2" borderId="2" xfId="0" applyNumberFormat="1" applyFont="1" applyFill="1" applyBorder="1" applyAlignment="1" applyProtection="1">
      <alignment horizontal="right" vertical="center"/>
      <protection hidden="1"/>
    </xf>
    <xf numFmtId="38" fontId="8" fillId="2" borderId="0" xfId="3" applyFont="1" applyFill="1" applyBorder="1" applyAlignment="1" applyProtection="1">
      <alignment vertical="center" shrinkToFit="1"/>
      <protection hidden="1"/>
    </xf>
    <xf numFmtId="38" fontId="30" fillId="2" borderId="0" xfId="3" applyFont="1" applyFill="1" applyBorder="1" applyAlignment="1" applyProtection="1">
      <alignment vertical="center"/>
      <protection hidden="1"/>
    </xf>
    <xf numFmtId="0" fontId="19" fillId="3" borderId="0" xfId="0" applyFont="1" applyFill="1" applyProtection="1">
      <alignment vertical="center"/>
      <protection hidden="1"/>
    </xf>
    <xf numFmtId="180" fontId="25" fillId="2" borderId="1" xfId="3" applyNumberFormat="1" applyFont="1" applyFill="1" applyBorder="1" applyAlignment="1" applyProtection="1">
      <alignment horizontal="right" vertical="center" shrinkToFit="1"/>
      <protection hidden="1"/>
    </xf>
    <xf numFmtId="180" fontId="25" fillId="2" borderId="13" xfId="3" applyNumberFormat="1" applyFont="1" applyFill="1" applyBorder="1" applyAlignment="1" applyProtection="1">
      <alignment horizontal="right" vertical="center" shrinkToFit="1"/>
      <protection hidden="1"/>
    </xf>
    <xf numFmtId="180" fontId="25" fillId="2" borderId="61" xfId="3" applyNumberFormat="1" applyFont="1" applyFill="1" applyBorder="1" applyAlignment="1" applyProtection="1">
      <alignment horizontal="right" vertical="center" shrinkToFit="1"/>
      <protection hidden="1"/>
    </xf>
    <xf numFmtId="180" fontId="25" fillId="2" borderId="16" xfId="3" applyNumberFormat="1" applyFont="1" applyFill="1" applyBorder="1" applyAlignment="1" applyProtection="1">
      <alignment horizontal="right" vertical="center" shrinkToFit="1"/>
      <protection hidden="1"/>
    </xf>
    <xf numFmtId="0" fontId="21" fillId="2" borderId="1" xfId="0" applyFont="1" applyFill="1" applyBorder="1" applyAlignment="1" applyProtection="1">
      <alignment horizontal="center" vertical="center" shrinkToFit="1"/>
      <protection hidden="1"/>
    </xf>
    <xf numFmtId="0" fontId="4" fillId="0" borderId="37" xfId="0" applyFont="1" applyBorder="1" applyAlignment="1" applyProtection="1">
      <alignment horizontal="left" vertical="center"/>
      <protection locked="0"/>
    </xf>
    <xf numFmtId="0" fontId="4" fillId="0" borderId="64" xfId="0" applyFont="1" applyBorder="1" applyAlignment="1" applyProtection="1">
      <alignment horizontal="left" vertical="center"/>
      <protection locked="0"/>
    </xf>
    <xf numFmtId="13" fontId="4" fillId="0" borderId="65" xfId="0" applyNumberFormat="1" applyFont="1" applyBorder="1" applyAlignment="1" applyProtection="1">
      <alignment horizontal="right" vertical="center"/>
      <protection locked="0"/>
    </xf>
    <xf numFmtId="13" fontId="4" fillId="0" borderId="64" xfId="0" applyNumberFormat="1" applyFont="1" applyBorder="1" applyAlignment="1" applyProtection="1">
      <alignment horizontal="right" vertical="center"/>
      <protection locked="0"/>
    </xf>
    <xf numFmtId="38" fontId="4" fillId="2" borderId="63" xfId="3" applyFont="1" applyFill="1" applyBorder="1" applyProtection="1">
      <alignment vertical="center"/>
      <protection hidden="1"/>
    </xf>
    <xf numFmtId="0" fontId="16" fillId="2" borderId="33" xfId="0" applyFont="1" applyFill="1" applyBorder="1" applyAlignment="1" applyProtection="1">
      <alignment horizontal="center" vertical="center"/>
      <protection hidden="1"/>
    </xf>
    <xf numFmtId="13" fontId="4" fillId="2" borderId="33" xfId="0" applyNumberFormat="1" applyFont="1" applyFill="1" applyBorder="1" applyAlignment="1" applyProtection="1">
      <alignment horizontal="right" vertical="center"/>
      <protection hidden="1"/>
    </xf>
    <xf numFmtId="0" fontId="14" fillId="0" borderId="21" xfId="0" applyFont="1" applyBorder="1" applyAlignment="1" applyProtection="1">
      <alignment horizontal="left" vertical="center"/>
      <protection locked="0"/>
    </xf>
    <xf numFmtId="13" fontId="4" fillId="0" borderId="59" xfId="0" applyNumberFormat="1" applyFont="1" applyBorder="1" applyAlignment="1" applyProtection="1">
      <alignment horizontal="right" vertical="center"/>
      <protection locked="0"/>
    </xf>
    <xf numFmtId="13" fontId="4" fillId="0" borderId="66" xfId="0" applyNumberFormat="1" applyFont="1" applyBorder="1" applyAlignment="1" applyProtection="1">
      <alignment horizontal="right" vertical="center"/>
      <protection locked="0"/>
    </xf>
    <xf numFmtId="38" fontId="4" fillId="2" borderId="60" xfId="3" applyFont="1" applyFill="1" applyBorder="1" applyProtection="1">
      <alignment vertical="center"/>
      <protection hidden="1"/>
    </xf>
    <xf numFmtId="0" fontId="13" fillId="0" borderId="12" xfId="0" applyFont="1" applyBorder="1" applyProtection="1">
      <alignment vertical="center"/>
      <protection locked="0" hidden="1"/>
    </xf>
    <xf numFmtId="0" fontId="4" fillId="0" borderId="56" xfId="0" applyFont="1" applyBorder="1" applyAlignment="1" applyProtection="1">
      <alignment horizontal="left" vertical="center"/>
      <protection locked="0"/>
    </xf>
    <xf numFmtId="0" fontId="4" fillId="0" borderId="59" xfId="0" applyFont="1" applyBorder="1" applyAlignment="1" applyProtection="1">
      <alignment horizontal="left" vertical="center"/>
      <protection locked="0"/>
    </xf>
    <xf numFmtId="0" fontId="4" fillId="0" borderId="67" xfId="0" applyFont="1" applyBorder="1" applyAlignment="1" applyProtection="1">
      <alignment horizontal="left" vertical="center"/>
      <protection locked="0"/>
    </xf>
    <xf numFmtId="13" fontId="4" fillId="0" borderId="37" xfId="0" applyNumberFormat="1" applyFont="1" applyBorder="1" applyAlignment="1" applyProtection="1">
      <alignment horizontal="right" vertical="center"/>
      <protection locked="0"/>
    </xf>
    <xf numFmtId="0" fontId="14" fillId="0" borderId="65" xfId="0" applyFont="1" applyBorder="1" applyAlignment="1" applyProtection="1">
      <alignment horizontal="left" vertical="center"/>
      <protection locked="0"/>
    </xf>
    <xf numFmtId="38" fontId="4" fillId="2" borderId="65" xfId="3" applyFont="1" applyFill="1" applyBorder="1" applyProtection="1">
      <alignment vertical="center"/>
      <protection hidden="1"/>
    </xf>
    <xf numFmtId="0" fontId="4" fillId="0" borderId="26" xfId="0" applyFont="1" applyBorder="1" applyAlignment="1" applyProtection="1">
      <alignment horizontal="distributed" vertical="center" shrinkToFit="1"/>
      <protection hidden="1"/>
    </xf>
    <xf numFmtId="0" fontId="4" fillId="0" borderId="28" xfId="0" applyFont="1" applyBorder="1" applyAlignment="1" applyProtection="1">
      <alignment horizontal="distributed" vertical="center" shrinkToFit="1"/>
      <protection hidden="1"/>
    </xf>
    <xf numFmtId="0" fontId="4" fillId="0" borderId="62" xfId="0" applyFont="1" applyBorder="1" applyAlignment="1" applyProtection="1">
      <alignment horizontal="distributed" vertical="center" shrinkToFit="1"/>
      <protection hidden="1"/>
    </xf>
    <xf numFmtId="0" fontId="4" fillId="0" borderId="29" xfId="0" applyFont="1" applyBorder="1" applyAlignment="1" applyProtection="1">
      <alignment horizontal="distributed" vertical="center" shrinkToFit="1"/>
      <protection hidden="1"/>
    </xf>
    <xf numFmtId="0" fontId="4" fillId="0" borderId="68" xfId="0" applyFont="1" applyBorder="1" applyAlignment="1" applyProtection="1">
      <alignment horizontal="center" vertical="center" shrinkToFit="1"/>
      <protection hidden="1"/>
    </xf>
    <xf numFmtId="0" fontId="16" fillId="2" borderId="41" xfId="0" applyFont="1" applyFill="1" applyBorder="1" applyAlignment="1" applyProtection="1">
      <alignment horizontal="center" vertical="center"/>
      <protection hidden="1"/>
    </xf>
    <xf numFmtId="13" fontId="4" fillId="0" borderId="69" xfId="0" applyNumberFormat="1" applyFont="1" applyBorder="1" applyAlignment="1" applyProtection="1">
      <alignment horizontal="right" vertical="center"/>
      <protection locked="0"/>
    </xf>
    <xf numFmtId="13" fontId="4" fillId="0" borderId="49" xfId="0" applyNumberFormat="1" applyFont="1" applyBorder="1" applyAlignment="1" applyProtection="1">
      <alignment horizontal="right" vertical="center"/>
      <protection locked="0"/>
    </xf>
    <xf numFmtId="13" fontId="4" fillId="2" borderId="41" xfId="0" applyNumberFormat="1" applyFont="1" applyFill="1" applyBorder="1" applyAlignment="1" applyProtection="1">
      <alignment horizontal="right" vertical="center"/>
      <protection hidden="1"/>
    </xf>
    <xf numFmtId="0" fontId="16" fillId="2" borderId="6" xfId="0" applyFont="1" applyFill="1" applyBorder="1" applyAlignment="1" applyProtection="1">
      <alignment horizontal="center" vertical="center"/>
      <protection hidden="1"/>
    </xf>
    <xf numFmtId="38" fontId="4" fillId="2" borderId="2" xfId="3" applyFont="1" applyFill="1" applyBorder="1" applyProtection="1">
      <alignment vertical="center"/>
      <protection hidden="1"/>
    </xf>
    <xf numFmtId="13" fontId="4" fillId="0" borderId="55" xfId="0" applyNumberFormat="1" applyFont="1" applyBorder="1" applyAlignment="1" applyProtection="1">
      <alignment horizontal="right" vertical="center"/>
      <protection locked="0"/>
    </xf>
    <xf numFmtId="38" fontId="4" fillId="2" borderId="64" xfId="3" applyFont="1" applyFill="1" applyBorder="1" applyProtection="1">
      <alignment vertical="center"/>
      <protection hidden="1"/>
    </xf>
    <xf numFmtId="0" fontId="15" fillId="0" borderId="0" xfId="0" applyFont="1" applyBorder="1" applyProtection="1">
      <alignment vertical="center"/>
      <protection locked="0"/>
    </xf>
    <xf numFmtId="0" fontId="15" fillId="0" borderId="12" xfId="0" applyFont="1" applyBorder="1" applyProtection="1">
      <alignment vertical="center"/>
      <protection locked="0"/>
    </xf>
    <xf numFmtId="0" fontId="22" fillId="2" borderId="1" xfId="0" applyFont="1" applyFill="1" applyBorder="1" applyAlignment="1" applyProtection="1">
      <alignment horizontal="center" vertical="center" shrinkToFit="1"/>
      <protection hidden="1"/>
    </xf>
    <xf numFmtId="0" fontId="7" fillId="0" borderId="47" xfId="0" applyFont="1" applyBorder="1" applyAlignment="1" applyProtection="1">
      <alignment vertical="center" shrinkToFit="1"/>
      <protection hidden="1"/>
    </xf>
    <xf numFmtId="38" fontId="7" fillId="0" borderId="50" xfId="3" applyFont="1" applyBorder="1" applyProtection="1">
      <alignment vertical="center"/>
      <protection hidden="1"/>
    </xf>
    <xf numFmtId="0" fontId="7" fillId="0" borderId="29" xfId="0" applyFont="1" applyBorder="1" applyAlignment="1" applyProtection="1">
      <alignment vertical="center" shrinkToFit="1"/>
      <protection hidden="1"/>
    </xf>
    <xf numFmtId="181" fontId="7" fillId="0" borderId="50" xfId="0" applyNumberFormat="1" applyFont="1" applyBorder="1" applyProtection="1">
      <alignment vertical="center"/>
      <protection hidden="1"/>
    </xf>
    <xf numFmtId="0" fontId="4" fillId="0" borderId="58" xfId="0" applyFont="1" applyBorder="1" applyAlignment="1" applyProtection="1">
      <alignment horizontal="center" vertical="center" shrinkToFit="1"/>
      <protection hidden="1"/>
    </xf>
    <xf numFmtId="38" fontId="4" fillId="2" borderId="0" xfId="3" applyFont="1" applyFill="1" applyBorder="1" applyProtection="1">
      <alignment vertical="center"/>
      <protection hidden="1"/>
    </xf>
    <xf numFmtId="38" fontId="4" fillId="2" borderId="70" xfId="3" applyFont="1" applyFill="1" applyBorder="1" applyProtection="1">
      <alignment vertical="center"/>
      <protection hidden="1"/>
    </xf>
    <xf numFmtId="0" fontId="4" fillId="2" borderId="73" xfId="0" applyFont="1" applyFill="1" applyBorder="1" applyAlignment="1" applyProtection="1">
      <alignment horizontal="center" vertical="center"/>
      <protection hidden="1"/>
    </xf>
    <xf numFmtId="0" fontId="14" fillId="2" borderId="60" xfId="0" applyFont="1" applyFill="1" applyBorder="1" applyAlignment="1" applyProtection="1">
      <alignment horizontal="distributed" vertical="center" shrinkToFit="1"/>
      <protection hidden="1"/>
    </xf>
    <xf numFmtId="0" fontId="14" fillId="2" borderId="22" xfId="0" applyFont="1" applyFill="1" applyBorder="1" applyAlignment="1" applyProtection="1">
      <alignment horizontal="center" vertical="center"/>
      <protection hidden="1"/>
    </xf>
    <xf numFmtId="38" fontId="4" fillId="2" borderId="74" xfId="3" applyFont="1" applyFill="1" applyBorder="1" applyProtection="1">
      <alignment vertical="center"/>
      <protection hidden="1"/>
    </xf>
    <xf numFmtId="38" fontId="4" fillId="2" borderId="58" xfId="3" applyFont="1" applyFill="1" applyBorder="1" applyProtection="1">
      <alignment vertical="center"/>
      <protection hidden="1"/>
    </xf>
    <xf numFmtId="38" fontId="4" fillId="2" borderId="75" xfId="3" applyFont="1" applyFill="1" applyBorder="1" applyProtection="1">
      <alignment vertical="center"/>
      <protection hidden="1"/>
    </xf>
    <xf numFmtId="0" fontId="10" fillId="2" borderId="1" xfId="0" applyNumberFormat="1" applyFont="1" applyFill="1" applyBorder="1" applyAlignment="1" applyProtection="1">
      <alignment horizontal="center" vertical="center" shrinkToFit="1"/>
      <protection hidden="1"/>
    </xf>
    <xf numFmtId="0" fontId="8" fillId="2" borderId="1" xfId="0" applyNumberFormat="1" applyFont="1" applyFill="1" applyBorder="1" applyAlignment="1" applyProtection="1">
      <alignment horizontal="center" vertical="center" shrinkToFit="1"/>
      <protection hidden="1"/>
    </xf>
    <xf numFmtId="0" fontId="8" fillId="2" borderId="1" xfId="0" applyFont="1" applyFill="1" applyBorder="1" applyAlignment="1" applyProtection="1">
      <alignment horizontal="center" vertical="center" shrinkToFit="1"/>
      <protection hidden="1"/>
    </xf>
    <xf numFmtId="0" fontId="25" fillId="2" borderId="1" xfId="0" applyNumberFormat="1" applyFont="1" applyFill="1" applyBorder="1" applyAlignment="1" applyProtection="1">
      <alignment horizontal="center" vertical="center" shrinkToFit="1"/>
      <protection hidden="1"/>
    </xf>
    <xf numFmtId="0" fontId="23" fillId="2" borderId="1" xfId="0" applyNumberFormat="1" applyFont="1" applyFill="1" applyBorder="1" applyAlignment="1" applyProtection="1">
      <alignment horizontal="center" vertical="center" shrinkToFit="1"/>
      <protection hidden="1"/>
    </xf>
    <xf numFmtId="0" fontId="8" fillId="2" borderId="6" xfId="0" applyNumberFormat="1" applyFont="1" applyFill="1" applyBorder="1" applyAlignment="1" applyProtection="1">
      <alignment horizontal="center" vertical="center" shrinkToFit="1"/>
      <protection hidden="1"/>
    </xf>
    <xf numFmtId="0" fontId="19" fillId="0" borderId="12" xfId="0" applyFont="1" applyBorder="1" applyProtection="1">
      <alignment vertical="center"/>
      <protection hidden="1"/>
    </xf>
    <xf numFmtId="38" fontId="23" fillId="2" borderId="9" xfId="3" applyFont="1" applyFill="1" applyBorder="1" applyAlignment="1" applyProtection="1">
      <alignment horizontal="center" vertical="center" shrinkToFit="1"/>
      <protection hidden="1"/>
    </xf>
    <xf numFmtId="38" fontId="23" fillId="2" borderId="2" xfId="3" applyFont="1" applyFill="1" applyBorder="1" applyAlignment="1" applyProtection="1">
      <alignment horizontal="center" vertical="center" shrinkToFit="1"/>
      <protection hidden="1"/>
    </xf>
    <xf numFmtId="0" fontId="14" fillId="0" borderId="0" xfId="0" applyFont="1" applyProtection="1">
      <alignment vertical="center"/>
      <protection hidden="1"/>
    </xf>
    <xf numFmtId="0" fontId="7" fillId="0" borderId="0" xfId="0" applyFont="1" applyProtection="1">
      <alignment vertical="center"/>
      <protection hidden="1"/>
    </xf>
    <xf numFmtId="0" fontId="14" fillId="0" borderId="16" xfId="0" applyFont="1" applyBorder="1" applyAlignment="1" applyProtection="1">
      <alignment vertical="center"/>
      <protection hidden="1"/>
    </xf>
    <xf numFmtId="0" fontId="37" fillId="0" borderId="0" xfId="0" applyFont="1" applyBorder="1" applyProtection="1">
      <alignment vertical="center"/>
      <protection hidden="1"/>
    </xf>
    <xf numFmtId="0" fontId="14" fillId="0" borderId="0" xfId="0" applyFont="1" applyBorder="1" applyAlignment="1" applyProtection="1">
      <alignment vertical="center"/>
      <protection hidden="1"/>
    </xf>
    <xf numFmtId="0" fontId="7" fillId="0" borderId="26" xfId="0" applyFont="1" applyBorder="1" applyAlignment="1" applyProtection="1">
      <alignment horizontal="center" vertical="center" shrinkToFit="1"/>
      <protection hidden="1"/>
    </xf>
    <xf numFmtId="0" fontId="7" fillId="0" borderId="28" xfId="0" applyFont="1" applyBorder="1" applyAlignment="1" applyProtection="1">
      <alignment horizontal="center" vertical="center"/>
      <protection hidden="1"/>
    </xf>
    <xf numFmtId="38" fontId="7" fillId="0" borderId="47" xfId="3" applyFont="1" applyBorder="1" applyProtection="1">
      <alignment vertical="center"/>
      <protection hidden="1"/>
    </xf>
    <xf numFmtId="0" fontId="7" fillId="0" borderId="62" xfId="0" applyFont="1" applyBorder="1" applyAlignment="1" applyProtection="1">
      <alignment horizontal="center" vertical="center"/>
      <protection hidden="1"/>
    </xf>
    <xf numFmtId="38" fontId="7" fillId="0" borderId="76" xfId="0" applyNumberFormat="1" applyFont="1" applyBorder="1" applyAlignment="1" applyProtection="1">
      <alignment horizontal="center" vertical="center"/>
      <protection hidden="1"/>
    </xf>
    <xf numFmtId="38" fontId="7" fillId="0" borderId="76" xfId="3" applyFont="1" applyBorder="1" applyProtection="1">
      <alignment vertical="center"/>
      <protection hidden="1"/>
    </xf>
    <xf numFmtId="38" fontId="7" fillId="0" borderId="77" xfId="3" applyFont="1" applyBorder="1" applyProtection="1">
      <alignment vertical="center"/>
      <protection hidden="1"/>
    </xf>
    <xf numFmtId="181" fontId="7" fillId="0" borderId="48" xfId="0" applyNumberFormat="1" applyFont="1" applyBorder="1" applyProtection="1">
      <alignment vertical="center"/>
      <protection hidden="1"/>
    </xf>
    <xf numFmtId="38" fontId="7" fillId="0" borderId="58" xfId="3" applyFont="1" applyBorder="1" applyProtection="1">
      <alignment vertical="center"/>
      <protection hidden="1"/>
    </xf>
    <xf numFmtId="0" fontId="7" fillId="0" borderId="0" xfId="0" applyFont="1" applyBorder="1" applyProtection="1">
      <alignment vertical="center"/>
      <protection hidden="1"/>
    </xf>
    <xf numFmtId="0" fontId="7" fillId="0" borderId="28" xfId="0" applyFont="1" applyBorder="1" applyProtection="1">
      <alignment vertical="center"/>
      <protection hidden="1"/>
    </xf>
    <xf numFmtId="0" fontId="7" fillId="0" borderId="62" xfId="0" applyFont="1" applyBorder="1" applyProtection="1">
      <alignment vertical="center"/>
      <protection hidden="1"/>
    </xf>
    <xf numFmtId="38" fontId="7" fillId="0" borderId="48" xfId="3" applyFont="1" applyBorder="1" applyAlignment="1" applyProtection="1">
      <alignment horizontal="center" vertical="center"/>
      <protection hidden="1"/>
    </xf>
    <xf numFmtId="38" fontId="7" fillId="0" borderId="50" xfId="3" applyFont="1" applyBorder="1" applyAlignment="1" applyProtection="1">
      <alignment horizontal="center" vertical="center"/>
      <protection hidden="1"/>
    </xf>
    <xf numFmtId="38" fontId="7" fillId="0" borderId="0" xfId="3" applyFont="1" applyProtection="1">
      <alignment vertical="center"/>
      <protection hidden="1"/>
    </xf>
    <xf numFmtId="0" fontId="7" fillId="0" borderId="48" xfId="0" applyFont="1" applyBorder="1" applyProtection="1">
      <alignment vertical="center"/>
      <protection hidden="1"/>
    </xf>
    <xf numFmtId="38" fontId="7" fillId="0" borderId="68" xfId="3" applyFont="1" applyBorder="1" applyProtection="1">
      <alignment vertical="center"/>
      <protection hidden="1"/>
    </xf>
    <xf numFmtId="0" fontId="7" fillId="0" borderId="0" xfId="0" applyFont="1" applyAlignment="1" applyProtection="1">
      <alignment vertical="center" shrinkToFit="1"/>
      <protection hidden="1"/>
    </xf>
    <xf numFmtId="0" fontId="7" fillId="0" borderId="1" xfId="0" applyFont="1" applyBorder="1" applyAlignment="1" applyProtection="1">
      <alignment vertical="center" shrinkToFit="1"/>
      <protection hidden="1"/>
    </xf>
    <xf numFmtId="0" fontId="7" fillId="0" borderId="6" xfId="0" applyFont="1" applyBorder="1" applyAlignment="1" applyProtection="1">
      <alignment vertical="center" shrinkToFit="1"/>
      <protection hidden="1"/>
    </xf>
    <xf numFmtId="0" fontId="7" fillId="0" borderId="60" xfId="0" applyFont="1" applyBorder="1" applyAlignment="1" applyProtection="1">
      <alignment vertical="center" shrinkToFit="1"/>
      <protection hidden="1"/>
    </xf>
    <xf numFmtId="38" fontId="7" fillId="0" borderId="60" xfId="0" applyNumberFormat="1" applyFont="1" applyBorder="1" applyAlignment="1" applyProtection="1">
      <alignment horizontal="right" vertical="center" shrinkToFit="1"/>
      <protection hidden="1"/>
    </xf>
    <xf numFmtId="38" fontId="7" fillId="0" borderId="60" xfId="3" applyFont="1" applyBorder="1" applyAlignment="1" applyProtection="1">
      <alignment horizontal="right" vertical="center" shrinkToFit="1"/>
      <protection hidden="1"/>
    </xf>
    <xf numFmtId="38" fontId="7" fillId="0" borderId="65" xfId="3" applyFont="1" applyBorder="1" applyAlignment="1" applyProtection="1">
      <alignment horizontal="right" vertical="center" shrinkToFit="1"/>
      <protection hidden="1"/>
    </xf>
    <xf numFmtId="0" fontId="7" fillId="0" borderId="23" xfId="0" applyFont="1" applyBorder="1" applyAlignment="1" applyProtection="1">
      <alignment vertical="center" shrinkToFit="1"/>
      <protection hidden="1"/>
    </xf>
    <xf numFmtId="38" fontId="7" fillId="0" borderId="23" xfId="0" applyNumberFormat="1" applyFont="1" applyBorder="1" applyAlignment="1" applyProtection="1">
      <alignment horizontal="right" vertical="center" shrinkToFit="1"/>
      <protection hidden="1"/>
    </xf>
    <xf numFmtId="38" fontId="7" fillId="0" borderId="23" xfId="3" applyFont="1" applyBorder="1" applyAlignment="1" applyProtection="1">
      <alignment horizontal="right" vertical="center" shrinkToFit="1"/>
      <protection hidden="1"/>
    </xf>
    <xf numFmtId="38" fontId="7" fillId="0" borderId="66" xfId="3" applyFont="1" applyBorder="1" applyAlignment="1" applyProtection="1">
      <alignment horizontal="right" vertical="center" shrinkToFit="1"/>
      <protection hidden="1"/>
    </xf>
    <xf numFmtId="38" fontId="7" fillId="0" borderId="22" xfId="3" applyFont="1" applyBorder="1" applyAlignment="1" applyProtection="1">
      <alignment horizontal="right" vertical="center" shrinkToFit="1"/>
      <protection hidden="1"/>
    </xf>
    <xf numFmtId="38" fontId="7" fillId="0" borderId="25" xfId="3" applyFont="1" applyBorder="1" applyAlignment="1" applyProtection="1">
      <alignment horizontal="right" vertical="center" shrinkToFit="1"/>
      <protection hidden="1"/>
    </xf>
    <xf numFmtId="187" fontId="7" fillId="0" borderId="60" xfId="0" applyNumberFormat="1" applyFont="1" applyBorder="1" applyAlignment="1" applyProtection="1">
      <alignment horizontal="right" vertical="center" shrinkToFit="1"/>
      <protection hidden="1"/>
    </xf>
    <xf numFmtId="187" fontId="7" fillId="0" borderId="3" xfId="0" applyNumberFormat="1" applyFont="1" applyBorder="1" applyAlignment="1" applyProtection="1">
      <alignment horizontal="right" vertical="center" shrinkToFit="1"/>
      <protection hidden="1"/>
    </xf>
    <xf numFmtId="38" fontId="7" fillId="0" borderId="3" xfId="0" applyNumberFormat="1" applyFont="1" applyBorder="1" applyAlignment="1" applyProtection="1">
      <alignment horizontal="right" vertical="center" shrinkToFit="1"/>
      <protection hidden="1"/>
    </xf>
    <xf numFmtId="38" fontId="7" fillId="0" borderId="3" xfId="3" applyFont="1" applyBorder="1" applyAlignment="1" applyProtection="1">
      <alignment horizontal="right" vertical="center" shrinkToFit="1"/>
      <protection hidden="1"/>
    </xf>
    <xf numFmtId="38" fontId="7" fillId="0" borderId="24" xfId="3" applyFont="1" applyBorder="1" applyAlignment="1" applyProtection="1">
      <alignment horizontal="right" vertical="center" shrinkToFit="1"/>
      <protection hidden="1"/>
    </xf>
    <xf numFmtId="38" fontId="7" fillId="0" borderId="72" xfId="3" applyFont="1" applyBorder="1" applyAlignment="1" applyProtection="1">
      <alignment horizontal="right" vertical="center" shrinkToFit="1"/>
      <protection hidden="1"/>
    </xf>
    <xf numFmtId="38" fontId="7" fillId="0" borderId="17" xfId="3" applyFont="1" applyBorder="1" applyAlignment="1" applyProtection="1">
      <alignment horizontal="right" vertical="center" shrinkToFit="1"/>
      <protection hidden="1"/>
    </xf>
    <xf numFmtId="38" fontId="7" fillId="0" borderId="20" xfId="3" applyFont="1" applyBorder="1" applyAlignment="1" applyProtection="1">
      <alignment horizontal="right" vertical="center" shrinkToFit="1"/>
      <protection hidden="1"/>
    </xf>
    <xf numFmtId="38" fontId="7" fillId="0" borderId="70" xfId="3" applyFont="1" applyBorder="1" applyAlignment="1" applyProtection="1">
      <alignment horizontal="right" vertical="center" shrinkToFit="1"/>
      <protection hidden="1"/>
    </xf>
    <xf numFmtId="187" fontId="7" fillId="0" borderId="24" xfId="0" applyNumberFormat="1" applyFont="1" applyBorder="1" applyAlignment="1" applyProtection="1">
      <alignment horizontal="right" vertical="center" shrinkToFit="1"/>
      <protection hidden="1"/>
    </xf>
    <xf numFmtId="38" fontId="7" fillId="0" borderId="24" xfId="0" applyNumberFormat="1" applyFont="1" applyBorder="1" applyAlignment="1" applyProtection="1">
      <alignment horizontal="right" vertical="center" shrinkToFit="1"/>
      <protection hidden="1"/>
    </xf>
    <xf numFmtId="38" fontId="7" fillId="0" borderId="13" xfId="3" applyFont="1" applyBorder="1" applyAlignment="1" applyProtection="1">
      <alignment horizontal="right" vertical="center" shrinkToFit="1"/>
      <protection hidden="1"/>
    </xf>
    <xf numFmtId="187" fontId="7" fillId="0" borderId="0" xfId="0" applyNumberFormat="1" applyFont="1" applyBorder="1" applyAlignment="1" applyProtection="1">
      <alignment horizontal="right" vertical="center" shrinkToFit="1"/>
      <protection hidden="1"/>
    </xf>
    <xf numFmtId="187" fontId="7" fillId="0" borderId="0" xfId="3" applyNumberFormat="1" applyFont="1" applyBorder="1" applyProtection="1">
      <alignment vertical="center"/>
      <protection hidden="1"/>
    </xf>
    <xf numFmtId="0" fontId="7" fillId="0" borderId="50" xfId="0" applyFont="1" applyBorder="1" applyProtection="1">
      <alignment vertical="center"/>
      <protection hidden="1"/>
    </xf>
    <xf numFmtId="0" fontId="7" fillId="0" borderId="0" xfId="0" applyFont="1" applyBorder="1" applyAlignment="1" applyProtection="1">
      <alignment vertical="center" shrinkToFit="1"/>
      <protection hidden="1"/>
    </xf>
    <xf numFmtId="38" fontId="7" fillId="0" borderId="0" xfId="3" applyFont="1" applyBorder="1" applyProtection="1">
      <alignment vertical="center"/>
      <protection hidden="1"/>
    </xf>
    <xf numFmtId="38" fontId="7" fillId="0" borderId="0" xfId="3" applyFont="1" applyBorder="1" applyAlignment="1" applyProtection="1">
      <alignment horizontal="right" vertical="center" shrinkToFit="1"/>
      <protection hidden="1"/>
    </xf>
    <xf numFmtId="38" fontId="7" fillId="0" borderId="0" xfId="0" applyNumberFormat="1" applyFont="1" applyBorder="1" applyAlignment="1" applyProtection="1">
      <alignment horizontal="right" vertical="center" shrinkToFit="1"/>
      <protection hidden="1"/>
    </xf>
    <xf numFmtId="184" fontId="7" fillId="0" borderId="0" xfId="0" applyNumberFormat="1" applyFont="1" applyBorder="1" applyProtection="1">
      <alignment vertical="center"/>
      <protection hidden="1"/>
    </xf>
    <xf numFmtId="38" fontId="7" fillId="0" borderId="0" xfId="0" applyNumberFormat="1" applyFont="1" applyBorder="1" applyProtection="1">
      <alignment vertical="center"/>
      <protection hidden="1"/>
    </xf>
    <xf numFmtId="0" fontId="7" fillId="0" borderId="48" xfId="0" applyFont="1" applyBorder="1" applyAlignment="1" applyProtection="1">
      <alignment horizontal="center" vertical="center" shrinkToFit="1"/>
      <protection hidden="1"/>
    </xf>
    <xf numFmtId="0" fontId="7" fillId="0" borderId="48" xfId="0" applyFont="1" applyBorder="1" applyAlignment="1" applyProtection="1">
      <alignment horizontal="center" vertical="center"/>
      <protection hidden="1"/>
    </xf>
    <xf numFmtId="38" fontId="7" fillId="0" borderId="48" xfId="0" applyNumberFormat="1" applyFont="1" applyBorder="1" applyAlignment="1" applyProtection="1">
      <alignment horizontal="center" vertical="center"/>
      <protection hidden="1"/>
    </xf>
    <xf numFmtId="0" fontId="7" fillId="0" borderId="48" xfId="0" applyFont="1" applyBorder="1" applyAlignment="1" applyProtection="1">
      <alignment vertical="center" shrinkToFit="1"/>
      <protection hidden="1"/>
    </xf>
    <xf numFmtId="188" fontId="7" fillId="0" borderId="48" xfId="3" applyNumberFormat="1" applyFont="1" applyBorder="1" applyProtection="1">
      <alignment vertical="center"/>
      <protection hidden="1"/>
    </xf>
    <xf numFmtId="185" fontId="7" fillId="0" borderId="76" xfId="0" applyNumberFormat="1" applyFont="1" applyBorder="1" applyProtection="1">
      <alignment vertical="center"/>
      <protection hidden="1"/>
    </xf>
    <xf numFmtId="177" fontId="7" fillId="0" borderId="48" xfId="3" applyNumberFormat="1" applyFont="1" applyBorder="1" applyProtection="1">
      <alignment vertical="center"/>
      <protection hidden="1"/>
    </xf>
    <xf numFmtId="38" fontId="7" fillId="0" borderId="48" xfId="3" applyNumberFormat="1" applyFont="1" applyBorder="1" applyProtection="1">
      <alignment vertical="center"/>
      <protection hidden="1"/>
    </xf>
    <xf numFmtId="38" fontId="7" fillId="0" borderId="48" xfId="0" applyNumberFormat="1" applyFont="1" applyBorder="1" applyProtection="1">
      <alignment vertical="center"/>
      <protection hidden="1"/>
    </xf>
    <xf numFmtId="0" fontId="7" fillId="0" borderId="76" xfId="0" applyFont="1" applyBorder="1" applyProtection="1">
      <alignment vertical="center"/>
      <protection hidden="1"/>
    </xf>
    <xf numFmtId="38" fontId="7" fillId="0" borderId="0" xfId="3" applyNumberFormat="1" applyFont="1" applyBorder="1" applyProtection="1">
      <alignment vertical="center"/>
      <protection hidden="1"/>
    </xf>
    <xf numFmtId="0" fontId="7" fillId="0" borderId="26" xfId="0" applyFont="1" applyBorder="1" applyProtection="1">
      <alignment vertical="center"/>
      <protection hidden="1"/>
    </xf>
    <xf numFmtId="0" fontId="7" fillId="0" borderId="17" xfId="0" applyFont="1" applyBorder="1" applyProtection="1">
      <alignment vertical="center"/>
      <protection hidden="1"/>
    </xf>
    <xf numFmtId="0" fontId="7" fillId="0" borderId="6" xfId="0" applyFont="1" applyBorder="1" applyAlignment="1" applyProtection="1">
      <alignment horizontal="center" vertical="center"/>
      <protection hidden="1"/>
    </xf>
    <xf numFmtId="0" fontId="7" fillId="0" borderId="1" xfId="0" applyFont="1" applyBorder="1" applyAlignment="1" applyProtection="1">
      <alignment horizontal="center" vertical="center"/>
      <protection hidden="1"/>
    </xf>
    <xf numFmtId="38" fontId="7" fillId="0" borderId="1" xfId="0" applyNumberFormat="1" applyFont="1" applyBorder="1" applyAlignment="1" applyProtection="1">
      <alignment horizontal="center" vertical="center"/>
      <protection hidden="1"/>
    </xf>
    <xf numFmtId="0" fontId="7" fillId="0" borderId="22" xfId="0" applyFont="1" applyBorder="1" applyAlignment="1" applyProtection="1">
      <alignment vertical="center" shrinkToFit="1"/>
      <protection hidden="1"/>
    </xf>
    <xf numFmtId="0" fontId="7" fillId="0" borderId="24" xfId="0" applyFont="1" applyBorder="1" applyAlignment="1" applyProtection="1">
      <alignment vertical="center" shrinkToFit="1"/>
      <protection hidden="1"/>
    </xf>
    <xf numFmtId="38" fontId="7" fillId="0" borderId="6" xfId="3" applyFont="1" applyBorder="1" applyProtection="1">
      <alignment vertical="center"/>
      <protection hidden="1"/>
    </xf>
    <xf numFmtId="0" fontId="7" fillId="0" borderId="1" xfId="0" applyFont="1" applyBorder="1" applyProtection="1">
      <alignment vertical="center"/>
      <protection hidden="1"/>
    </xf>
    <xf numFmtId="0" fontId="7" fillId="0" borderId="28" xfId="0" applyFont="1" applyBorder="1" applyAlignment="1" applyProtection="1">
      <alignment vertical="center" shrinkToFit="1"/>
      <protection hidden="1"/>
    </xf>
    <xf numFmtId="38" fontId="7" fillId="0" borderId="50" xfId="0" applyNumberFormat="1" applyFont="1" applyBorder="1" applyProtection="1">
      <alignment vertical="center"/>
      <protection hidden="1"/>
    </xf>
    <xf numFmtId="0" fontId="7" fillId="0" borderId="58" xfId="0" applyFont="1" applyBorder="1" applyAlignment="1" applyProtection="1">
      <alignment vertical="center" shrinkToFit="1"/>
      <protection hidden="1"/>
    </xf>
    <xf numFmtId="38" fontId="7" fillId="0" borderId="1" xfId="0" applyNumberFormat="1" applyFont="1" applyBorder="1" applyProtection="1">
      <alignment vertical="center"/>
      <protection hidden="1"/>
    </xf>
    <xf numFmtId="0" fontId="7" fillId="0" borderId="0" xfId="0" applyFont="1" applyAlignment="1" applyProtection="1">
      <alignment horizontal="center" vertical="center"/>
      <protection hidden="1"/>
    </xf>
    <xf numFmtId="0" fontId="7" fillId="0" borderId="48" xfId="0" applyFont="1" applyBorder="1" applyAlignment="1" applyProtection="1">
      <alignment vertical="center"/>
      <protection hidden="1"/>
    </xf>
    <xf numFmtId="0" fontId="0" fillId="0" borderId="48" xfId="0" applyBorder="1" applyAlignment="1" applyProtection="1">
      <alignment vertical="center"/>
      <protection hidden="1"/>
    </xf>
    <xf numFmtId="0" fontId="7" fillId="0" borderId="26" xfId="0" applyFont="1" applyBorder="1" applyAlignment="1" applyProtection="1">
      <alignment horizontal="distributed" vertical="center" shrinkToFit="1"/>
      <protection hidden="1"/>
    </xf>
    <xf numFmtId="38" fontId="7" fillId="0" borderId="28" xfId="0" applyNumberFormat="1" applyFont="1" applyBorder="1" applyAlignment="1" applyProtection="1">
      <alignment horizontal="center" vertical="center"/>
      <protection hidden="1"/>
    </xf>
    <xf numFmtId="0" fontId="7" fillId="0" borderId="77" xfId="0" applyFont="1" applyBorder="1" applyProtection="1">
      <alignment vertical="center"/>
      <protection hidden="1"/>
    </xf>
    <xf numFmtId="0" fontId="7" fillId="0" borderId="47" xfId="2" applyFont="1" applyBorder="1" applyAlignment="1" applyProtection="1">
      <alignment vertical="center" shrinkToFit="1"/>
      <protection hidden="1"/>
    </xf>
    <xf numFmtId="0" fontId="7" fillId="0" borderId="47" xfId="0" applyFont="1" applyBorder="1" applyAlignment="1" applyProtection="1">
      <alignment horizontal="center" vertical="center" shrinkToFit="1"/>
      <protection hidden="1"/>
    </xf>
    <xf numFmtId="38" fontId="7" fillId="0" borderId="48" xfId="3" applyFont="1" applyBorder="1" applyAlignment="1" applyProtection="1">
      <alignment horizontal="center" vertical="center" shrinkToFit="1"/>
      <protection hidden="1"/>
    </xf>
    <xf numFmtId="38" fontId="7" fillId="0" borderId="48" xfId="3" applyFont="1" applyBorder="1" applyAlignment="1" applyProtection="1">
      <alignment horizontal="right" vertical="center" shrinkToFit="1"/>
      <protection hidden="1"/>
    </xf>
    <xf numFmtId="0" fontId="7" fillId="0" borderId="58" xfId="0" applyFont="1" applyBorder="1" applyProtection="1">
      <alignment vertical="center"/>
      <protection hidden="1"/>
    </xf>
    <xf numFmtId="38" fontId="7" fillId="0" borderId="68" xfId="0" applyNumberFormat="1" applyFont="1" applyBorder="1" applyProtection="1">
      <alignment vertical="center"/>
      <protection hidden="1"/>
    </xf>
    <xf numFmtId="0" fontId="7" fillId="0" borderId="26" xfId="0" applyFont="1" applyBorder="1" applyAlignment="1" applyProtection="1">
      <alignment horizontal="distributed" vertical="center"/>
      <protection hidden="1"/>
    </xf>
    <xf numFmtId="0" fontId="7" fillId="0" borderId="78" xfId="0" applyFont="1" applyBorder="1" applyProtection="1">
      <alignment vertical="center"/>
      <protection hidden="1"/>
    </xf>
    <xf numFmtId="0" fontId="7" fillId="0" borderId="47" xfId="0" applyFont="1" applyBorder="1" applyAlignment="1" applyProtection="1">
      <alignment horizontal="distributed" vertical="center" shrinkToFit="1"/>
      <protection hidden="1"/>
    </xf>
    <xf numFmtId="0" fontId="7" fillId="0" borderId="50" xfId="0" applyFont="1" applyBorder="1" applyAlignment="1" applyProtection="1">
      <alignment horizontal="center" vertical="center"/>
      <protection hidden="1"/>
    </xf>
    <xf numFmtId="0" fontId="34" fillId="0" borderId="0" xfId="0" applyFont="1" applyProtection="1">
      <alignment vertical="center"/>
      <protection hidden="1"/>
    </xf>
    <xf numFmtId="0" fontId="7" fillId="0" borderId="79" xfId="0" applyFont="1" applyBorder="1" applyProtection="1">
      <alignment vertical="center"/>
      <protection hidden="1"/>
    </xf>
    <xf numFmtId="38" fontId="35" fillId="0" borderId="17" xfId="0" applyNumberFormat="1" applyFont="1" applyBorder="1" applyProtection="1">
      <alignment vertical="center"/>
      <protection hidden="1"/>
    </xf>
    <xf numFmtId="0" fontId="7" fillId="0" borderId="0" xfId="0" applyFont="1" applyBorder="1" applyAlignment="1" applyProtection="1">
      <alignment horizontal="center" vertical="center"/>
      <protection hidden="1"/>
    </xf>
    <xf numFmtId="0" fontId="35" fillId="0" borderId="17" xfId="0" applyNumberFormat="1" applyFont="1" applyBorder="1" applyAlignment="1" applyProtection="1">
      <alignment horizontal="center" vertical="center" shrinkToFit="1"/>
      <protection hidden="1"/>
    </xf>
    <xf numFmtId="38" fontId="3" fillId="0" borderId="3" xfId="0" applyNumberFormat="1" applyFont="1" applyBorder="1" applyProtection="1">
      <alignment vertical="center"/>
      <protection hidden="1"/>
    </xf>
    <xf numFmtId="0" fontId="3" fillId="0" borderId="3" xfId="0" applyNumberFormat="1" applyFont="1" applyBorder="1" applyAlignment="1" applyProtection="1">
      <alignment horizontal="center" vertical="center" shrinkToFit="1"/>
      <protection hidden="1"/>
    </xf>
    <xf numFmtId="38" fontId="3" fillId="0" borderId="24" xfId="3" applyFont="1" applyBorder="1" applyAlignment="1" applyProtection="1">
      <alignment horizontal="right" vertical="center" shrinkToFit="1"/>
      <protection hidden="1"/>
    </xf>
    <xf numFmtId="0" fontId="7" fillId="0" borderId="50" xfId="0" applyFont="1" applyBorder="1" applyAlignment="1" applyProtection="1">
      <alignment horizontal="center" vertical="center" shrinkToFit="1"/>
      <protection hidden="1"/>
    </xf>
    <xf numFmtId="0" fontId="36" fillId="0" borderId="0" xfId="0" applyFont="1" applyAlignment="1" applyProtection="1">
      <alignment horizontal="center" vertical="center" shrinkToFit="1"/>
      <protection hidden="1"/>
    </xf>
    <xf numFmtId="38" fontId="7" fillId="0" borderId="50" xfId="0" applyNumberFormat="1" applyFont="1" applyBorder="1" applyAlignment="1" applyProtection="1">
      <alignment horizontal="center" vertical="center" shrinkToFit="1"/>
      <protection hidden="1"/>
    </xf>
    <xf numFmtId="38" fontId="7" fillId="0" borderId="50" xfId="0" applyNumberFormat="1" applyFont="1" applyBorder="1" applyAlignment="1" applyProtection="1">
      <alignment vertical="center" shrinkToFit="1"/>
      <protection hidden="1"/>
    </xf>
    <xf numFmtId="38" fontId="7" fillId="0" borderId="68" xfId="0" applyNumberFormat="1" applyFont="1" applyBorder="1" applyAlignment="1" applyProtection="1">
      <alignment vertical="center" shrinkToFit="1"/>
      <protection hidden="1"/>
    </xf>
    <xf numFmtId="0" fontId="7" fillId="0" borderId="26" xfId="0" applyFont="1" applyBorder="1" applyAlignment="1" applyProtection="1">
      <alignment horizontal="right" vertical="center" shrinkToFit="1"/>
      <protection hidden="1"/>
    </xf>
    <xf numFmtId="0" fontId="7" fillId="0" borderId="78" xfId="0" applyFont="1" applyBorder="1" applyAlignment="1" applyProtection="1">
      <alignment vertical="center" shrinkToFit="1"/>
      <protection hidden="1"/>
    </xf>
    <xf numFmtId="38" fontId="7" fillId="0" borderId="47" xfId="0" applyNumberFormat="1" applyFont="1" applyBorder="1" applyAlignment="1" applyProtection="1">
      <alignment horizontal="right" vertical="center" shrinkToFit="1"/>
      <protection hidden="1"/>
    </xf>
    <xf numFmtId="38" fontId="7" fillId="0" borderId="29" xfId="0" applyNumberFormat="1" applyFont="1" applyBorder="1" applyAlignment="1" applyProtection="1">
      <alignment horizontal="right" vertical="center" shrinkToFit="1"/>
      <protection hidden="1"/>
    </xf>
    <xf numFmtId="38" fontId="7" fillId="0" borderId="58" xfId="0" applyNumberFormat="1" applyFont="1" applyBorder="1" applyProtection="1">
      <alignment vertical="center"/>
      <protection hidden="1"/>
    </xf>
    <xf numFmtId="0" fontId="7" fillId="0" borderId="68" xfId="0" applyFont="1" applyBorder="1" applyProtection="1">
      <alignment vertical="center"/>
      <protection hidden="1"/>
    </xf>
    <xf numFmtId="0" fontId="7" fillId="0" borderId="0" xfId="0" applyFont="1" applyAlignment="1" applyProtection="1">
      <alignment horizontal="right" vertical="center" shrinkToFit="1"/>
      <protection hidden="1"/>
    </xf>
    <xf numFmtId="0" fontId="7" fillId="0" borderId="48" xfId="0" applyFont="1" applyBorder="1" applyAlignment="1" applyProtection="1">
      <alignment horizontal="right" vertical="center" shrinkToFit="1"/>
      <protection hidden="1"/>
    </xf>
    <xf numFmtId="38" fontId="7" fillId="0" borderId="27" xfId="0" applyNumberFormat="1" applyFont="1" applyBorder="1" applyAlignment="1" applyProtection="1">
      <alignment horizontal="center" vertical="center"/>
      <protection hidden="1"/>
    </xf>
    <xf numFmtId="38" fontId="7" fillId="0" borderId="62" xfId="0" applyNumberFormat="1" applyFont="1" applyBorder="1" applyAlignment="1" applyProtection="1">
      <alignment horizontal="distributed" vertical="center" indent="1"/>
      <protection hidden="1"/>
    </xf>
    <xf numFmtId="0" fontId="7" fillId="0" borderId="51" xfId="0" applyFont="1" applyBorder="1" applyAlignment="1" applyProtection="1">
      <alignment horizontal="center" vertical="center" shrinkToFit="1"/>
      <protection hidden="1"/>
    </xf>
    <xf numFmtId="177" fontId="7" fillId="0" borderId="77" xfId="3" applyNumberFormat="1" applyFont="1" applyBorder="1" applyAlignment="1" applyProtection="1">
      <alignment horizontal="right" vertical="center" shrinkToFit="1"/>
      <protection hidden="1"/>
    </xf>
    <xf numFmtId="0" fontId="7" fillId="0" borderId="51" xfId="0" applyFont="1" applyBorder="1" applyAlignment="1" applyProtection="1">
      <alignment vertical="center" shrinkToFit="1"/>
      <protection hidden="1"/>
    </xf>
    <xf numFmtId="186" fontId="7" fillId="0" borderId="48" xfId="3" applyNumberFormat="1" applyFont="1" applyBorder="1" applyAlignment="1" applyProtection="1">
      <alignment horizontal="right" vertical="center" shrinkToFit="1"/>
      <protection hidden="1"/>
    </xf>
    <xf numFmtId="186" fontId="7" fillId="0" borderId="0" xfId="0" applyNumberFormat="1" applyFont="1" applyProtection="1">
      <alignment vertical="center"/>
      <protection hidden="1"/>
    </xf>
    <xf numFmtId="186" fontId="7" fillId="0" borderId="51" xfId="3" applyNumberFormat="1" applyFont="1" applyBorder="1" applyAlignment="1" applyProtection="1">
      <alignment horizontal="right" vertical="center" shrinkToFit="1"/>
      <protection hidden="1"/>
    </xf>
    <xf numFmtId="38" fontId="7" fillId="0" borderId="51" xfId="3" applyFont="1" applyBorder="1" applyAlignment="1" applyProtection="1">
      <alignment horizontal="right" vertical="center" shrinkToFit="1"/>
      <protection hidden="1"/>
    </xf>
    <xf numFmtId="38" fontId="7" fillId="0" borderId="50" xfId="3" applyFont="1" applyBorder="1" applyAlignment="1" applyProtection="1">
      <alignment horizontal="right" vertical="center" shrinkToFit="1"/>
      <protection hidden="1"/>
    </xf>
    <xf numFmtId="177" fontId="7" fillId="0" borderId="48" xfId="3" applyNumberFormat="1" applyFont="1" applyBorder="1" applyAlignment="1" applyProtection="1">
      <alignment horizontal="right" vertical="center" shrinkToFit="1"/>
      <protection hidden="1"/>
    </xf>
    <xf numFmtId="177" fontId="7" fillId="0" borderId="51" xfId="3" applyNumberFormat="1" applyFont="1" applyBorder="1" applyAlignment="1" applyProtection="1">
      <alignment horizontal="right" vertical="center" shrinkToFit="1"/>
      <protection hidden="1"/>
    </xf>
    <xf numFmtId="38" fontId="7" fillId="0" borderId="58" xfId="3" applyFont="1" applyBorder="1" applyAlignment="1" applyProtection="1">
      <alignment horizontal="right" vertical="center" shrinkToFit="1"/>
      <protection hidden="1"/>
    </xf>
    <xf numFmtId="38" fontId="7" fillId="0" borderId="30" xfId="3" applyFont="1" applyBorder="1" applyAlignment="1" applyProtection="1">
      <alignment horizontal="right" vertical="center" shrinkToFit="1"/>
      <protection hidden="1"/>
    </xf>
    <xf numFmtId="38" fontId="7" fillId="0" borderId="0" xfId="0" applyNumberFormat="1" applyFont="1" applyProtection="1">
      <alignment vertical="center"/>
      <protection hidden="1"/>
    </xf>
    <xf numFmtId="0" fontId="7" fillId="0" borderId="62" xfId="0" applyFont="1" applyBorder="1" applyAlignment="1" applyProtection="1">
      <alignment horizontal="center" vertical="center" shrinkToFit="1"/>
      <protection hidden="1"/>
    </xf>
    <xf numFmtId="0" fontId="7" fillId="0" borderId="29" xfId="0" applyFont="1" applyBorder="1" applyAlignment="1" applyProtection="1">
      <alignment horizontal="distributed" vertical="center"/>
      <protection hidden="1"/>
    </xf>
    <xf numFmtId="0" fontId="7" fillId="0" borderId="68" xfId="0" applyFont="1" applyBorder="1" applyAlignment="1" applyProtection="1">
      <alignment horizontal="center" vertical="center" shrinkToFit="1"/>
      <protection hidden="1"/>
    </xf>
    <xf numFmtId="0" fontId="7" fillId="0" borderId="49" xfId="0" applyFont="1" applyBorder="1" applyAlignment="1" applyProtection="1">
      <alignment vertical="center" shrinkToFit="1"/>
      <protection hidden="1"/>
    </xf>
    <xf numFmtId="0" fontId="7" fillId="0" borderId="69" xfId="0" applyFont="1" applyBorder="1" applyAlignment="1" applyProtection="1">
      <alignment vertical="center" shrinkToFit="1"/>
      <protection hidden="1"/>
    </xf>
    <xf numFmtId="0" fontId="7" fillId="0" borderId="50" xfId="0" applyFont="1" applyBorder="1" applyAlignment="1" applyProtection="1">
      <alignment vertical="center" shrinkToFit="1"/>
      <protection hidden="1"/>
    </xf>
    <xf numFmtId="0" fontId="36" fillId="0" borderId="43" xfId="0" applyFont="1" applyBorder="1" applyProtection="1">
      <alignment vertical="center"/>
      <protection hidden="1"/>
    </xf>
    <xf numFmtId="0" fontId="7" fillId="0" borderId="45" xfId="0" applyFont="1" applyBorder="1" applyProtection="1">
      <alignment vertical="center"/>
      <protection hidden="1"/>
    </xf>
    <xf numFmtId="184" fontId="7" fillId="0" borderId="43" xfId="0" applyNumberFormat="1" applyFont="1" applyBorder="1" applyAlignment="1" applyProtection="1">
      <alignment vertical="center" shrinkToFit="1"/>
      <protection hidden="1"/>
    </xf>
    <xf numFmtId="0" fontId="7" fillId="0" borderId="44" xfId="0" applyFont="1" applyBorder="1" applyProtection="1">
      <alignment vertical="center"/>
      <protection hidden="1"/>
    </xf>
    <xf numFmtId="0" fontId="7" fillId="0" borderId="43" xfId="0" applyFont="1" applyBorder="1" applyProtection="1">
      <alignment vertical="center"/>
      <protection hidden="1"/>
    </xf>
    <xf numFmtId="38" fontId="7" fillId="0" borderId="45" xfId="3" applyFont="1" applyBorder="1" applyProtection="1">
      <alignment vertical="center"/>
      <protection hidden="1"/>
    </xf>
    <xf numFmtId="0" fontId="7" fillId="0" borderId="47" xfId="0" applyFont="1" applyBorder="1" applyProtection="1">
      <alignment vertical="center"/>
      <protection hidden="1"/>
    </xf>
    <xf numFmtId="187" fontId="7" fillId="0" borderId="47" xfId="0" applyNumberFormat="1" applyFont="1" applyBorder="1" applyAlignment="1" applyProtection="1">
      <alignment vertical="center" shrinkToFit="1"/>
      <protection hidden="1"/>
    </xf>
    <xf numFmtId="187" fontId="7" fillId="0" borderId="47" xfId="3" applyNumberFormat="1" applyFont="1" applyBorder="1" applyProtection="1">
      <alignment vertical="center"/>
      <protection hidden="1"/>
    </xf>
    <xf numFmtId="0" fontId="7" fillId="0" borderId="53" xfId="0" applyFont="1" applyBorder="1" applyProtection="1">
      <alignment vertical="center"/>
      <protection hidden="1"/>
    </xf>
    <xf numFmtId="0" fontId="7" fillId="0" borderId="55" xfId="0" applyFont="1" applyBorder="1" applyAlignment="1" applyProtection="1">
      <alignment vertical="center" shrinkToFit="1"/>
      <protection hidden="1"/>
    </xf>
    <xf numFmtId="187" fontId="7" fillId="0" borderId="53" xfId="0" applyNumberFormat="1" applyFont="1" applyBorder="1" applyAlignment="1" applyProtection="1">
      <alignment vertical="center" shrinkToFit="1"/>
      <protection hidden="1"/>
    </xf>
    <xf numFmtId="38" fontId="7" fillId="0" borderId="57" xfId="3" applyFont="1" applyBorder="1" applyProtection="1">
      <alignment vertical="center"/>
      <protection hidden="1"/>
    </xf>
    <xf numFmtId="187" fontId="7" fillId="0" borderId="80" xfId="0" applyNumberFormat="1" applyFont="1" applyBorder="1" applyAlignment="1" applyProtection="1">
      <alignment vertical="center" shrinkToFit="1"/>
      <protection hidden="1"/>
    </xf>
    <xf numFmtId="187" fontId="7" fillId="0" borderId="29" xfId="3" applyNumberFormat="1" applyFont="1" applyBorder="1" applyProtection="1">
      <alignment vertical="center"/>
      <protection hidden="1"/>
    </xf>
    <xf numFmtId="0" fontId="36" fillId="0" borderId="26" xfId="0" applyFont="1" applyBorder="1" applyProtection="1">
      <alignment vertical="center"/>
      <protection hidden="1"/>
    </xf>
    <xf numFmtId="187" fontId="7" fillId="0" borderId="26" xfId="0" applyNumberFormat="1" applyFont="1" applyBorder="1" applyAlignment="1" applyProtection="1">
      <alignment vertical="center" shrinkToFit="1"/>
      <protection hidden="1"/>
    </xf>
    <xf numFmtId="38" fontId="7" fillId="0" borderId="28" xfId="0" applyNumberFormat="1" applyFont="1" applyBorder="1" applyProtection="1">
      <alignment vertical="center"/>
      <protection hidden="1"/>
    </xf>
    <xf numFmtId="38" fontId="7" fillId="0" borderId="46" xfId="3" applyFont="1" applyBorder="1" applyProtection="1">
      <alignment vertical="center"/>
      <protection hidden="1"/>
    </xf>
    <xf numFmtId="187" fontId="7" fillId="0" borderId="43" xfId="3" applyNumberFormat="1" applyFont="1" applyBorder="1" applyProtection="1">
      <alignment vertical="center"/>
      <protection hidden="1"/>
    </xf>
    <xf numFmtId="38" fontId="7" fillId="0" borderId="44" xfId="3" applyFont="1" applyBorder="1" applyProtection="1">
      <alignment vertical="center"/>
      <protection hidden="1"/>
    </xf>
    <xf numFmtId="38" fontId="7" fillId="0" borderId="62" xfId="3" applyFont="1" applyBorder="1" applyProtection="1">
      <alignment vertical="center"/>
      <protection hidden="1"/>
    </xf>
    <xf numFmtId="187" fontId="7" fillId="0" borderId="47" xfId="0" applyNumberFormat="1" applyFont="1" applyBorder="1" applyAlignment="1" applyProtection="1">
      <alignment horizontal="right" vertical="center" shrinkToFit="1"/>
      <protection hidden="1"/>
    </xf>
    <xf numFmtId="0" fontId="7" fillId="0" borderId="80" xfId="0" applyFont="1" applyBorder="1" applyProtection="1">
      <alignment vertical="center"/>
      <protection hidden="1"/>
    </xf>
    <xf numFmtId="0" fontId="7" fillId="0" borderId="81" xfId="0" applyFont="1" applyBorder="1" applyProtection="1">
      <alignment vertical="center"/>
      <protection hidden="1"/>
    </xf>
    <xf numFmtId="187" fontId="7" fillId="0" borderId="80" xfId="0" applyNumberFormat="1" applyFont="1" applyBorder="1" applyAlignment="1" applyProtection="1">
      <alignment horizontal="right" vertical="center" shrinkToFit="1"/>
      <protection hidden="1"/>
    </xf>
    <xf numFmtId="0" fontId="7" fillId="0" borderId="82" xfId="0" applyFont="1" applyBorder="1" applyProtection="1">
      <alignment vertical="center"/>
      <protection hidden="1"/>
    </xf>
    <xf numFmtId="187" fontId="7" fillId="0" borderId="83" xfId="0" applyNumberFormat="1" applyFont="1" applyBorder="1" applyAlignment="1" applyProtection="1">
      <alignment horizontal="right" vertical="center" shrinkToFit="1"/>
      <protection hidden="1"/>
    </xf>
    <xf numFmtId="38" fontId="7" fillId="0" borderId="84" xfId="0" applyNumberFormat="1" applyFont="1" applyBorder="1" applyProtection="1">
      <alignment vertical="center"/>
      <protection hidden="1"/>
    </xf>
    <xf numFmtId="0" fontId="7" fillId="0" borderId="49" xfId="0" applyFont="1" applyBorder="1" applyProtection="1">
      <alignment vertical="center"/>
      <protection hidden="1"/>
    </xf>
    <xf numFmtId="0" fontId="7" fillId="0" borderId="29" xfId="0" applyFont="1" applyBorder="1" applyProtection="1">
      <alignment vertical="center"/>
      <protection hidden="1"/>
    </xf>
    <xf numFmtId="0" fontId="7" fillId="0" borderId="71" xfId="0" applyFont="1" applyBorder="1" applyProtection="1">
      <alignment vertical="center"/>
      <protection hidden="1"/>
    </xf>
    <xf numFmtId="187" fontId="7" fillId="0" borderId="29" xfId="0" applyNumberFormat="1" applyFont="1" applyBorder="1" applyAlignment="1" applyProtection="1">
      <alignment vertical="center" shrinkToFit="1"/>
      <protection hidden="1"/>
    </xf>
    <xf numFmtId="38" fontId="7" fillId="0" borderId="85" xfId="3" applyFont="1" applyBorder="1" applyProtection="1">
      <alignment vertical="center"/>
      <protection hidden="1"/>
    </xf>
    <xf numFmtId="0" fontId="7" fillId="0" borderId="7" xfId="0" applyFont="1" applyBorder="1" applyAlignment="1" applyProtection="1">
      <alignment vertical="center" shrinkToFit="1"/>
      <protection hidden="1"/>
    </xf>
    <xf numFmtId="0" fontId="7" fillId="0" borderId="40" xfId="0" applyFont="1" applyBorder="1" applyAlignment="1" applyProtection="1">
      <alignment horizontal="center" vertical="center" shrinkToFit="1"/>
      <protection hidden="1"/>
    </xf>
    <xf numFmtId="38" fontId="7" fillId="0" borderId="33" xfId="3" applyFont="1" applyBorder="1" applyAlignment="1" applyProtection="1">
      <alignment vertical="center" shrinkToFit="1"/>
      <protection hidden="1"/>
    </xf>
    <xf numFmtId="0" fontId="7" fillId="0" borderId="7" xfId="0" applyFont="1" applyBorder="1" applyAlignment="1" applyProtection="1">
      <alignment horizontal="center" vertical="center" shrinkToFit="1"/>
      <protection hidden="1"/>
    </xf>
    <xf numFmtId="38" fontId="7" fillId="0" borderId="6" xfId="3" applyFont="1" applyBorder="1" applyAlignment="1" applyProtection="1">
      <alignment vertical="center" shrinkToFit="1"/>
      <protection hidden="1"/>
    </xf>
    <xf numFmtId="12" fontId="7" fillId="0" borderId="0" xfId="0" applyNumberFormat="1" applyFont="1" applyBorder="1" applyAlignment="1" applyProtection="1">
      <alignment horizontal="center" vertical="center" shrinkToFit="1"/>
      <protection hidden="1"/>
    </xf>
    <xf numFmtId="38" fontId="7" fillId="0" borderId="62" xfId="3" applyFont="1" applyBorder="1" applyAlignment="1" applyProtection="1">
      <alignment vertical="center" shrinkToFit="1"/>
      <protection hidden="1"/>
    </xf>
    <xf numFmtId="38" fontId="7" fillId="0" borderId="50" xfId="3" applyFont="1" applyBorder="1" applyAlignment="1" applyProtection="1">
      <alignment vertical="center" shrinkToFit="1"/>
      <protection hidden="1"/>
    </xf>
    <xf numFmtId="38" fontId="7" fillId="0" borderId="37" xfId="3" applyFont="1" applyBorder="1" applyAlignment="1" applyProtection="1">
      <alignment horizontal="distributed" vertical="center" indent="1" shrinkToFit="1"/>
      <protection hidden="1"/>
    </xf>
    <xf numFmtId="38" fontId="7" fillId="0" borderId="50" xfId="3" applyFont="1" applyBorder="1" applyAlignment="1" applyProtection="1">
      <alignment horizontal="distributed" vertical="center" indent="1" shrinkToFit="1"/>
      <protection hidden="1"/>
    </xf>
    <xf numFmtId="38" fontId="7" fillId="0" borderId="68" xfId="3" applyFont="1" applyBorder="1" applyAlignment="1" applyProtection="1">
      <alignment vertical="center" shrinkToFit="1"/>
      <protection hidden="1"/>
    </xf>
    <xf numFmtId="38" fontId="7" fillId="0" borderId="38" xfId="3" applyFont="1" applyBorder="1" applyAlignment="1" applyProtection="1">
      <alignment horizontal="distributed" vertical="center" indent="1" shrinkToFit="1"/>
      <protection hidden="1"/>
    </xf>
    <xf numFmtId="38" fontId="7" fillId="0" borderId="68" xfId="3" applyFont="1" applyBorder="1" applyAlignment="1" applyProtection="1">
      <alignment horizontal="right" vertical="center" shrinkToFit="1"/>
      <protection hidden="1"/>
    </xf>
    <xf numFmtId="38" fontId="7" fillId="0" borderId="0" xfId="3" applyFont="1" applyBorder="1" applyAlignment="1" applyProtection="1">
      <alignment vertical="center" shrinkToFit="1"/>
      <protection hidden="1"/>
    </xf>
    <xf numFmtId="38" fontId="7" fillId="0" borderId="0" xfId="3" applyFont="1" applyBorder="1" applyAlignment="1" applyProtection="1">
      <alignment horizontal="distributed" vertical="center" indent="1" shrinkToFit="1"/>
      <protection hidden="1"/>
    </xf>
    <xf numFmtId="0" fontId="7" fillId="0" borderId="86" xfId="0" applyFont="1" applyBorder="1" applyProtection="1">
      <alignment vertical="center"/>
      <protection hidden="1"/>
    </xf>
    <xf numFmtId="0" fontId="7" fillId="0" borderId="48" xfId="0" applyFont="1" applyBorder="1" applyAlignment="1" applyProtection="1">
      <alignment horizontal="distributed" vertical="center"/>
      <protection hidden="1"/>
    </xf>
    <xf numFmtId="0" fontId="7" fillId="0" borderId="48" xfId="0" applyFont="1" applyBorder="1" applyAlignment="1" applyProtection="1">
      <alignment horizontal="distributed" vertical="center" shrinkToFit="1"/>
      <protection hidden="1"/>
    </xf>
    <xf numFmtId="38" fontId="7" fillId="0" borderId="48" xfId="0" applyNumberFormat="1" applyFont="1" applyBorder="1" applyAlignment="1" applyProtection="1">
      <alignment horizontal="right" vertical="center" shrinkToFit="1"/>
      <protection hidden="1"/>
    </xf>
    <xf numFmtId="38" fontId="7" fillId="0" borderId="54" xfId="0" applyNumberFormat="1" applyFont="1" applyBorder="1" applyAlignment="1" applyProtection="1">
      <alignment horizontal="right" vertical="center" shrinkToFit="1"/>
      <protection hidden="1"/>
    </xf>
    <xf numFmtId="0" fontId="7" fillId="0" borderId="0" xfId="0" applyFont="1" applyBorder="1" applyAlignment="1" applyProtection="1">
      <alignment horizontal="distributed" vertical="center" shrinkToFit="1"/>
      <protection hidden="1"/>
    </xf>
    <xf numFmtId="0" fontId="7" fillId="0" borderId="0" xfId="0" applyFont="1" applyBorder="1" applyAlignment="1" applyProtection="1">
      <alignment horizontal="center" vertical="center" shrinkToFit="1"/>
      <protection hidden="1"/>
    </xf>
    <xf numFmtId="0" fontId="7" fillId="0" borderId="0" xfId="0" applyFont="1" applyBorder="1" applyAlignment="1" applyProtection="1">
      <alignment horizontal="right" vertical="center" shrinkToFit="1"/>
      <protection hidden="1"/>
    </xf>
    <xf numFmtId="38" fontId="7" fillId="0" borderId="48" xfId="0" applyNumberFormat="1" applyFont="1" applyBorder="1" applyAlignment="1" applyProtection="1">
      <alignment horizontal="distributed" vertical="center" shrinkToFit="1"/>
      <protection hidden="1"/>
    </xf>
    <xf numFmtId="0" fontId="7" fillId="0" borderId="0" xfId="0" applyFont="1" applyBorder="1" applyAlignment="1" applyProtection="1">
      <alignment horizontal="distributed" vertical="center"/>
      <protection hidden="1"/>
    </xf>
    <xf numFmtId="40" fontId="7" fillId="0" borderId="48" xfId="3" applyNumberFormat="1" applyFont="1" applyBorder="1" applyProtection="1">
      <alignment vertical="center"/>
      <protection hidden="1"/>
    </xf>
    <xf numFmtId="179" fontId="7" fillId="0" borderId="0" xfId="0" applyNumberFormat="1" applyFont="1" applyBorder="1" applyProtection="1">
      <alignment vertical="center"/>
      <protection hidden="1"/>
    </xf>
    <xf numFmtId="0" fontId="7" fillId="0" borderId="0" xfId="0" applyFont="1" applyAlignment="1" applyProtection="1">
      <alignment horizontal="center" vertical="center" shrinkToFit="1"/>
      <protection hidden="1"/>
    </xf>
    <xf numFmtId="38" fontId="7" fillId="0" borderId="54" xfId="3" applyFont="1" applyBorder="1" applyProtection="1">
      <alignment vertical="center"/>
      <protection hidden="1"/>
    </xf>
    <xf numFmtId="0" fontId="16" fillId="0" borderId="44" xfId="0" applyFont="1" applyBorder="1" applyAlignment="1" applyProtection="1">
      <alignment horizontal="center" vertical="center" shrinkToFit="1"/>
      <protection hidden="1"/>
    </xf>
    <xf numFmtId="0" fontId="16" fillId="0" borderId="0" xfId="0" applyFont="1" applyProtection="1">
      <alignment vertical="center"/>
      <protection hidden="1"/>
    </xf>
    <xf numFmtId="0" fontId="7" fillId="0" borderId="76" xfId="0" applyFont="1" applyBorder="1" applyAlignment="1" applyProtection="1">
      <alignment horizontal="center" vertical="center" shrinkToFit="1"/>
      <protection hidden="1"/>
    </xf>
    <xf numFmtId="0" fontId="7" fillId="0" borderId="48" xfId="0" applyFont="1" applyBorder="1" applyAlignment="1" applyProtection="1">
      <alignment horizontal="distributed" vertical="center" indent="1"/>
      <protection hidden="1"/>
    </xf>
    <xf numFmtId="0" fontId="7" fillId="0" borderId="1" xfId="0" applyFont="1" applyBorder="1" applyAlignment="1" applyProtection="1">
      <alignment horizontal="center" vertical="center" shrinkToFit="1"/>
      <protection hidden="1"/>
    </xf>
    <xf numFmtId="188" fontId="7" fillId="0" borderId="48" xfId="0" applyNumberFormat="1" applyFont="1" applyBorder="1" applyProtection="1">
      <alignment vertical="center"/>
      <protection hidden="1"/>
    </xf>
    <xf numFmtId="38" fontId="7" fillId="0" borderId="0" xfId="0" applyNumberFormat="1" applyFont="1" applyBorder="1" applyAlignment="1" applyProtection="1">
      <alignment horizontal="center" vertical="center"/>
      <protection hidden="1"/>
    </xf>
    <xf numFmtId="38" fontId="7" fillId="0" borderId="48" xfId="0" applyNumberFormat="1" applyFont="1" applyBorder="1" applyAlignment="1" applyProtection="1">
      <alignment horizontal="center" vertical="center" shrinkToFit="1"/>
      <protection hidden="1"/>
    </xf>
    <xf numFmtId="189" fontId="7" fillId="0" borderId="48" xfId="0" applyNumberFormat="1" applyFont="1" applyBorder="1" applyProtection="1">
      <alignment vertical="center"/>
      <protection hidden="1"/>
    </xf>
    <xf numFmtId="38" fontId="7" fillId="0" borderId="0" xfId="0" applyNumberFormat="1" applyFont="1" applyBorder="1" applyAlignment="1" applyProtection="1">
      <alignment horizontal="distributed" vertical="center" shrinkToFit="1"/>
      <protection hidden="1"/>
    </xf>
    <xf numFmtId="38" fontId="7" fillId="0" borderId="48" xfId="0" quotePrefix="1" applyNumberFormat="1" applyFont="1" applyBorder="1" applyProtection="1">
      <alignment vertical="center"/>
      <protection hidden="1"/>
    </xf>
    <xf numFmtId="177" fontId="7" fillId="0" borderId="50" xfId="3" applyNumberFormat="1" applyFont="1" applyBorder="1" applyProtection="1">
      <alignment vertical="center"/>
      <protection hidden="1"/>
    </xf>
    <xf numFmtId="38" fontId="7" fillId="0" borderId="50" xfId="3" applyFont="1" applyBorder="1" applyAlignment="1" applyProtection="1">
      <alignment horizontal="center" vertical="center" shrinkToFit="1"/>
      <protection hidden="1"/>
    </xf>
    <xf numFmtId="0" fontId="4" fillId="0" borderId="26" xfId="0" applyFont="1" applyBorder="1" applyAlignment="1" applyProtection="1">
      <alignment horizontal="center" vertical="center" shrinkToFit="1"/>
      <protection hidden="1"/>
    </xf>
    <xf numFmtId="0" fontId="4" fillId="0" borderId="47" xfId="0" applyFont="1" applyBorder="1" applyAlignment="1" applyProtection="1">
      <alignment horizontal="center" vertical="center" shrinkToFit="1"/>
      <protection hidden="1"/>
    </xf>
    <xf numFmtId="0" fontId="4" fillId="0" borderId="38" xfId="0" applyFont="1" applyBorder="1" applyAlignment="1" applyProtection="1">
      <alignment horizontal="center" vertical="center" shrinkToFit="1"/>
      <protection hidden="1"/>
    </xf>
    <xf numFmtId="0" fontId="4" fillId="0" borderId="75"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4" fillId="0" borderId="62"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7" fillId="0" borderId="48" xfId="0" applyFont="1" applyBorder="1" applyProtection="1">
      <alignment vertical="center"/>
      <protection locked="0"/>
    </xf>
    <xf numFmtId="0" fontId="7" fillId="0" borderId="87" xfId="0" applyFont="1" applyBorder="1" applyProtection="1">
      <alignment vertical="center"/>
      <protection locked="0"/>
    </xf>
    <xf numFmtId="0" fontId="7" fillId="0" borderId="0" xfId="0" applyFont="1" applyBorder="1" applyProtection="1">
      <alignment vertical="center"/>
      <protection locked="0"/>
    </xf>
    <xf numFmtId="0" fontId="7" fillId="0" borderId="0" xfId="0" applyFont="1" applyProtection="1">
      <alignment vertical="center"/>
      <protection locked="0"/>
    </xf>
    <xf numFmtId="38" fontId="7" fillId="0" borderId="25" xfId="3" applyFont="1" applyBorder="1" applyProtection="1">
      <alignment vertical="center"/>
      <protection locked="0"/>
    </xf>
    <xf numFmtId="0" fontId="7" fillId="0" borderId="22" xfId="0" applyFont="1" applyBorder="1" applyProtection="1">
      <alignment vertical="center"/>
      <protection locked="0"/>
    </xf>
    <xf numFmtId="38" fontId="7" fillId="0" borderId="65" xfId="3" applyFont="1" applyBorder="1" applyProtection="1">
      <alignment vertical="center"/>
      <protection locked="0"/>
    </xf>
    <xf numFmtId="0" fontId="7" fillId="0" borderId="60" xfId="0" applyFont="1" applyBorder="1" applyProtection="1">
      <alignment vertical="center"/>
      <protection locked="0"/>
    </xf>
    <xf numFmtId="38" fontId="7" fillId="0" borderId="72" xfId="3" applyFont="1" applyBorder="1" applyProtection="1">
      <alignment vertical="center"/>
      <protection locked="0"/>
    </xf>
    <xf numFmtId="0" fontId="7" fillId="0" borderId="24" xfId="0" applyFont="1" applyBorder="1" applyProtection="1">
      <alignment vertical="center"/>
      <protection locked="0"/>
    </xf>
    <xf numFmtId="0" fontId="7" fillId="0" borderId="22" xfId="0" applyFont="1" applyBorder="1" applyAlignment="1" applyProtection="1">
      <alignment horizontal="center" vertical="center" shrinkToFit="1"/>
      <protection locked="0"/>
    </xf>
    <xf numFmtId="0" fontId="7" fillId="0" borderId="28" xfId="0" applyFont="1" applyBorder="1" applyAlignment="1" applyProtection="1">
      <alignment horizontal="center" vertical="center"/>
      <protection locked="0"/>
    </xf>
    <xf numFmtId="0" fontId="7" fillId="0" borderId="58" xfId="0" applyFont="1" applyBorder="1" applyProtection="1">
      <alignment vertical="center"/>
      <protection locked="0"/>
    </xf>
    <xf numFmtId="38" fontId="7" fillId="0" borderId="28" xfId="0" applyNumberFormat="1" applyFont="1" applyBorder="1" applyAlignment="1" applyProtection="1">
      <alignment horizontal="center" vertical="center"/>
      <protection locked="0"/>
    </xf>
    <xf numFmtId="0" fontId="7" fillId="0" borderId="48" xfId="0" applyFont="1" applyBorder="1" applyAlignment="1" applyProtection="1">
      <alignment horizontal="center" vertical="center"/>
      <protection locked="0"/>
    </xf>
    <xf numFmtId="38" fontId="7" fillId="0" borderId="48" xfId="3" applyFont="1" applyBorder="1" applyProtection="1">
      <alignment vertical="center"/>
      <protection locked="0"/>
    </xf>
    <xf numFmtId="38" fontId="7" fillId="0" borderId="48" xfId="3" applyFont="1" applyBorder="1" applyAlignment="1" applyProtection="1">
      <alignment horizontal="center" vertical="center" shrinkToFit="1"/>
      <protection locked="0"/>
    </xf>
    <xf numFmtId="38" fontId="7" fillId="0" borderId="58" xfId="3" applyFont="1" applyBorder="1" applyProtection="1">
      <alignment vertical="center"/>
      <protection locked="0"/>
    </xf>
    <xf numFmtId="182" fontId="7" fillId="0" borderId="48" xfId="0" applyNumberFormat="1" applyFont="1" applyBorder="1" applyProtection="1">
      <alignment vertical="center"/>
      <protection hidden="1"/>
    </xf>
    <xf numFmtId="182" fontId="7" fillId="0" borderId="58" xfId="0" applyNumberFormat="1" applyFont="1" applyBorder="1" applyProtection="1">
      <alignment vertical="center"/>
      <protection hidden="1"/>
    </xf>
    <xf numFmtId="38" fontId="7" fillId="0" borderId="47" xfId="3" applyFont="1" applyBorder="1" applyAlignment="1" applyProtection="1">
      <alignment vertical="center" shrinkToFit="1"/>
      <protection locked="0"/>
    </xf>
    <xf numFmtId="38" fontId="7" fillId="0" borderId="50" xfId="3" applyFont="1" applyBorder="1" applyAlignment="1" applyProtection="1">
      <alignment horizontal="right" vertical="center" shrinkToFit="1"/>
      <protection locked="0"/>
    </xf>
    <xf numFmtId="0" fontId="7" fillId="0" borderId="26" xfId="0" applyFont="1" applyBorder="1" applyAlignment="1" applyProtection="1">
      <alignment vertical="center" shrinkToFit="1"/>
      <protection locked="0"/>
    </xf>
    <xf numFmtId="0" fontId="7" fillId="0" borderId="28" xfId="0" applyFont="1" applyBorder="1" applyAlignment="1" applyProtection="1">
      <alignment vertical="center" shrinkToFit="1"/>
      <protection locked="0"/>
    </xf>
    <xf numFmtId="0" fontId="7" fillId="0" borderId="62" xfId="0" applyFont="1" applyBorder="1" applyAlignment="1" applyProtection="1">
      <alignment vertical="center" shrinkToFit="1"/>
      <protection locked="0"/>
    </xf>
    <xf numFmtId="0" fontId="7" fillId="0" borderId="62" xfId="0" applyFont="1" applyBorder="1" applyAlignment="1" applyProtection="1">
      <alignment horizontal="center" vertical="center"/>
      <protection locked="0"/>
    </xf>
    <xf numFmtId="0" fontId="7" fillId="0" borderId="47" xfId="0" applyFont="1" applyBorder="1" applyAlignment="1" applyProtection="1">
      <alignment vertical="center" shrinkToFit="1"/>
      <protection locked="0"/>
    </xf>
    <xf numFmtId="38" fontId="7" fillId="0" borderId="48" xfId="3" applyFont="1" applyBorder="1" applyAlignment="1" applyProtection="1">
      <alignment vertical="center" shrinkToFit="1"/>
      <protection locked="0"/>
    </xf>
    <xf numFmtId="0" fontId="7" fillId="0" borderId="48" xfId="0" applyFont="1" applyBorder="1" applyAlignment="1" applyProtection="1">
      <alignment vertical="center" shrinkToFit="1"/>
      <protection locked="0"/>
    </xf>
    <xf numFmtId="0" fontId="7" fillId="0" borderId="50" xfId="0" applyFont="1" applyBorder="1" applyAlignment="1" applyProtection="1">
      <alignment vertical="center" shrinkToFit="1"/>
      <protection locked="0"/>
    </xf>
    <xf numFmtId="38" fontId="7" fillId="0" borderId="50" xfId="3" applyFont="1" applyBorder="1" applyProtection="1">
      <alignment vertical="center"/>
      <protection locked="0"/>
    </xf>
    <xf numFmtId="38" fontId="7" fillId="0" borderId="62" xfId="3" applyFont="1" applyBorder="1" applyAlignment="1" applyProtection="1">
      <alignment horizontal="center" vertical="center"/>
      <protection locked="0"/>
    </xf>
    <xf numFmtId="58" fontId="7" fillId="0" borderId="50" xfId="0" applyNumberFormat="1" applyFont="1" applyBorder="1" applyAlignment="1" applyProtection="1">
      <alignment horizontal="center" vertical="center" shrinkToFit="1"/>
      <protection locked="0"/>
    </xf>
    <xf numFmtId="0" fontId="7" fillId="0" borderId="29" xfId="0" applyFont="1" applyBorder="1" applyAlignment="1" applyProtection="1">
      <alignment vertical="center" shrinkToFit="1"/>
      <protection locked="0"/>
    </xf>
    <xf numFmtId="38" fontId="7" fillId="0" borderId="58" xfId="3" applyFont="1" applyBorder="1" applyAlignment="1" applyProtection="1">
      <alignment vertical="center" shrinkToFit="1"/>
      <protection locked="0"/>
    </xf>
    <xf numFmtId="0" fontId="7" fillId="0" borderId="58" xfId="0" applyFont="1" applyBorder="1" applyAlignment="1" applyProtection="1">
      <alignment vertical="center" shrinkToFit="1"/>
      <protection locked="0"/>
    </xf>
    <xf numFmtId="0" fontId="7" fillId="0" borderId="68" xfId="0" applyFont="1" applyBorder="1" applyAlignment="1" applyProtection="1">
      <alignment horizontal="center" vertical="center" shrinkToFit="1"/>
      <protection locked="0"/>
    </xf>
    <xf numFmtId="38" fontId="7" fillId="0" borderId="0" xfId="3" applyFont="1" applyBorder="1" applyProtection="1">
      <alignment vertical="center"/>
      <protection locked="0"/>
    </xf>
    <xf numFmtId="0" fontId="7" fillId="0" borderId="26" xfId="0" applyFont="1" applyBorder="1" applyProtection="1">
      <alignment vertical="center"/>
      <protection locked="0"/>
    </xf>
    <xf numFmtId="0" fontId="7" fillId="0" borderId="28" xfId="0" applyFont="1" applyBorder="1" applyProtection="1">
      <alignment vertical="center"/>
      <protection locked="0"/>
    </xf>
    <xf numFmtId="0" fontId="7" fillId="0" borderId="47" xfId="0" applyFont="1" applyBorder="1" applyProtection="1">
      <alignment vertical="center"/>
      <protection locked="0"/>
    </xf>
    <xf numFmtId="0" fontId="7" fillId="0" borderId="37" xfId="0" applyFont="1" applyBorder="1" applyProtection="1">
      <alignment vertical="center"/>
      <protection locked="0"/>
    </xf>
    <xf numFmtId="0" fontId="7" fillId="0" borderId="64" xfId="0" applyFont="1" applyBorder="1" applyProtection="1">
      <alignment vertical="center"/>
      <protection locked="0"/>
    </xf>
    <xf numFmtId="0" fontId="7" fillId="0" borderId="51" xfId="0" applyFont="1" applyBorder="1" applyProtection="1">
      <alignment vertical="center"/>
      <protection locked="0"/>
    </xf>
    <xf numFmtId="0" fontId="7" fillId="0" borderId="50" xfId="0" applyFont="1" applyBorder="1" applyProtection="1">
      <alignment vertical="center"/>
      <protection locked="0"/>
    </xf>
    <xf numFmtId="0" fontId="7" fillId="0" borderId="38" xfId="0" applyFont="1" applyBorder="1" applyProtection="1">
      <alignment vertical="center"/>
      <protection locked="0"/>
    </xf>
    <xf numFmtId="0" fontId="7" fillId="0" borderId="74" xfId="0" applyFont="1" applyBorder="1" applyProtection="1">
      <alignment vertical="center"/>
      <protection locked="0"/>
    </xf>
    <xf numFmtId="0" fontId="7" fillId="0" borderId="30" xfId="0" applyFont="1" applyBorder="1" applyProtection="1">
      <alignment vertical="center"/>
      <protection locked="0"/>
    </xf>
    <xf numFmtId="0" fontId="7" fillId="0" borderId="68" xfId="0" applyFont="1" applyBorder="1" applyProtection="1">
      <alignment vertical="center"/>
      <protection locked="0"/>
    </xf>
    <xf numFmtId="0" fontId="7" fillId="0" borderId="49" xfId="0" applyFont="1" applyBorder="1" applyProtection="1">
      <alignment vertical="center"/>
      <protection locked="0"/>
    </xf>
    <xf numFmtId="0" fontId="7" fillId="0" borderId="86" xfId="0" applyFont="1" applyBorder="1" applyProtection="1">
      <alignment vertical="center"/>
      <protection locked="0"/>
    </xf>
    <xf numFmtId="0" fontId="7" fillId="0" borderId="88" xfId="0" applyFont="1" applyBorder="1" applyProtection="1">
      <alignment vertical="center"/>
      <protection locked="0"/>
    </xf>
    <xf numFmtId="0" fontId="7" fillId="0" borderId="48" xfId="0" applyFont="1" applyBorder="1" applyAlignment="1" applyProtection="1">
      <alignment horizontal="distributed" vertical="center" shrinkToFit="1"/>
      <protection locked="0"/>
    </xf>
    <xf numFmtId="0" fontId="7" fillId="0" borderId="0" xfId="0" applyFont="1" applyBorder="1" applyAlignment="1" applyProtection="1">
      <alignment horizontal="center" vertical="center"/>
      <protection locked="0"/>
    </xf>
    <xf numFmtId="0" fontId="7" fillId="0" borderId="0" xfId="0" applyFont="1" applyBorder="1" applyAlignment="1" applyProtection="1">
      <alignment horizontal="distributed" vertical="center" shrinkToFit="1"/>
      <protection locked="0"/>
    </xf>
    <xf numFmtId="0" fontId="7" fillId="0" borderId="0" xfId="0" applyFont="1" applyBorder="1" applyAlignment="1" applyProtection="1">
      <alignment horizontal="center" vertical="center" shrinkToFit="1"/>
      <protection locked="0"/>
    </xf>
    <xf numFmtId="0" fontId="7" fillId="0" borderId="0" xfId="0" applyFont="1" applyBorder="1" applyAlignment="1" applyProtection="1">
      <alignment horizontal="right" vertical="center" shrinkToFit="1"/>
      <protection locked="0"/>
    </xf>
    <xf numFmtId="0" fontId="7" fillId="0" borderId="49" xfId="0" applyFont="1" applyBorder="1" applyAlignment="1" applyProtection="1">
      <alignment horizontal="center" vertical="center"/>
      <protection locked="0"/>
    </xf>
    <xf numFmtId="0" fontId="7" fillId="0" borderId="64" xfId="0" applyFont="1" applyBorder="1" applyAlignment="1" applyProtection="1">
      <alignment horizontal="center" vertical="center"/>
      <protection locked="0"/>
    </xf>
    <xf numFmtId="0" fontId="7" fillId="0" borderId="51" xfId="0" applyFont="1" applyBorder="1" applyAlignment="1" applyProtection="1">
      <alignment horizontal="center" vertical="center"/>
      <protection locked="0"/>
    </xf>
    <xf numFmtId="0" fontId="7" fillId="0" borderId="48" xfId="0" applyFont="1" applyBorder="1" applyAlignment="1" applyProtection="1">
      <alignment horizontal="distributed" vertical="center"/>
      <protection locked="0"/>
    </xf>
    <xf numFmtId="0" fontId="7" fillId="0" borderId="0" xfId="0" applyFont="1" applyBorder="1" applyAlignment="1" applyProtection="1">
      <alignment horizontal="distributed" vertical="center"/>
      <protection locked="0"/>
    </xf>
    <xf numFmtId="0" fontId="7" fillId="0" borderId="0" xfId="0" applyFont="1" applyBorder="1" applyAlignment="1" applyProtection="1">
      <alignment vertical="center" shrinkToFit="1"/>
      <protection locked="0"/>
    </xf>
    <xf numFmtId="181" fontId="7" fillId="0" borderId="48" xfId="0" applyNumberFormat="1" applyFont="1" applyBorder="1" applyProtection="1">
      <alignment vertical="center"/>
      <protection locked="0"/>
    </xf>
    <xf numFmtId="38" fontId="7" fillId="0" borderId="48" xfId="0" applyNumberFormat="1" applyFont="1" applyBorder="1" applyProtection="1">
      <alignment vertical="center"/>
      <protection locked="0"/>
    </xf>
    <xf numFmtId="40" fontId="7" fillId="0" borderId="48" xfId="3" applyNumberFormat="1" applyFont="1" applyBorder="1" applyProtection="1">
      <alignment vertical="center"/>
      <protection locked="0"/>
    </xf>
    <xf numFmtId="0" fontId="7" fillId="0" borderId="0" xfId="0" applyFont="1" applyAlignment="1" applyProtection="1">
      <alignment horizontal="center" vertical="center"/>
      <protection locked="0"/>
    </xf>
    <xf numFmtId="179" fontId="7" fillId="0" borderId="48" xfId="0" applyNumberFormat="1" applyFont="1" applyBorder="1" applyProtection="1">
      <alignment vertical="center"/>
      <protection locked="0"/>
    </xf>
    <xf numFmtId="0" fontId="7" fillId="0" borderId="0" xfId="0" applyFont="1" applyAlignment="1" applyProtection="1">
      <alignment horizontal="center" vertical="center" shrinkToFit="1"/>
      <protection locked="0"/>
    </xf>
    <xf numFmtId="0" fontId="7" fillId="0" borderId="48" xfId="0" applyFont="1" applyBorder="1" applyAlignment="1" applyProtection="1">
      <alignment vertical="center"/>
      <protection locked="0"/>
    </xf>
    <xf numFmtId="0" fontId="7" fillId="0" borderId="76" xfId="0" applyFont="1" applyBorder="1" applyProtection="1">
      <alignment vertical="center"/>
      <protection locked="0"/>
    </xf>
    <xf numFmtId="0" fontId="7" fillId="0" borderId="89" xfId="0" applyFont="1" applyBorder="1" applyProtection="1">
      <alignment vertical="center"/>
      <protection locked="0"/>
    </xf>
    <xf numFmtId="0" fontId="7" fillId="0" borderId="44" xfId="0" applyFont="1" applyBorder="1" applyProtection="1">
      <alignment vertical="center"/>
      <protection locked="0"/>
    </xf>
    <xf numFmtId="0" fontId="7" fillId="0" borderId="56" xfId="0" applyFont="1" applyBorder="1" applyAlignment="1" applyProtection="1">
      <alignment horizontal="center" vertical="center"/>
      <protection locked="0"/>
    </xf>
    <xf numFmtId="0" fontId="7" fillId="0" borderId="76" xfId="0" applyFont="1" applyBorder="1" applyAlignment="1" applyProtection="1">
      <alignment vertical="center"/>
      <protection locked="0"/>
    </xf>
    <xf numFmtId="0" fontId="7" fillId="0" borderId="52" xfId="0" applyFont="1" applyBorder="1" applyAlignment="1" applyProtection="1">
      <alignment horizontal="center" vertical="center"/>
      <protection locked="0"/>
    </xf>
    <xf numFmtId="0" fontId="7" fillId="0" borderId="48" xfId="0" applyFont="1" applyBorder="1" applyAlignment="1" applyProtection="1">
      <alignment horizontal="right" vertical="center"/>
      <protection locked="0"/>
    </xf>
    <xf numFmtId="0" fontId="7" fillId="0" borderId="48" xfId="0" applyFont="1" applyBorder="1" applyAlignment="1" applyProtection="1">
      <alignment horizontal="center" vertical="center" shrinkToFit="1"/>
      <protection locked="0"/>
    </xf>
    <xf numFmtId="38" fontId="7" fillId="0" borderId="48" xfId="3" applyFont="1" applyBorder="1" applyAlignment="1" applyProtection="1">
      <alignment horizontal="center" vertical="center"/>
      <protection locked="0"/>
    </xf>
    <xf numFmtId="38" fontId="7" fillId="0" borderId="48" xfId="3" applyFont="1" applyBorder="1" applyAlignment="1" applyProtection="1">
      <alignment horizontal="distributed" vertical="center" shrinkToFit="1"/>
      <protection locked="0"/>
    </xf>
    <xf numFmtId="0" fontId="7" fillId="0" borderId="54" xfId="0" applyFont="1" applyBorder="1" applyProtection="1">
      <alignment vertical="center"/>
      <protection locked="0"/>
    </xf>
    <xf numFmtId="0" fontId="7" fillId="0" borderId="0" xfId="0" applyFont="1" applyAlignment="1" applyProtection="1">
      <alignment horizontal="right" vertical="center"/>
      <protection locked="0"/>
    </xf>
    <xf numFmtId="0" fontId="7" fillId="0" borderId="53" xfId="0" applyFont="1" applyBorder="1" applyAlignment="1" applyProtection="1">
      <alignment vertical="center" wrapText="1"/>
      <protection hidden="1"/>
    </xf>
    <xf numFmtId="0" fontId="7" fillId="0" borderId="43" xfId="0" applyFont="1" applyBorder="1" applyAlignment="1" applyProtection="1">
      <alignment vertical="center" wrapText="1"/>
      <protection hidden="1"/>
    </xf>
    <xf numFmtId="0" fontId="16" fillId="2" borderId="7" xfId="0" applyFont="1" applyFill="1" applyBorder="1" applyAlignment="1" applyProtection="1">
      <alignment vertical="center"/>
      <protection hidden="1"/>
    </xf>
    <xf numFmtId="0" fontId="16" fillId="2" borderId="2" xfId="0" applyFont="1" applyFill="1" applyBorder="1" applyAlignment="1" applyProtection="1">
      <alignment vertical="center"/>
      <protection hidden="1"/>
    </xf>
    <xf numFmtId="0" fontId="16" fillId="2" borderId="32" xfId="0" applyFont="1" applyFill="1" applyBorder="1" applyAlignment="1" applyProtection="1">
      <alignment vertical="center"/>
      <protection hidden="1"/>
    </xf>
    <xf numFmtId="178" fontId="4" fillId="0" borderId="39" xfId="0" applyNumberFormat="1" applyFont="1" applyFill="1" applyBorder="1" applyAlignment="1" applyProtection="1">
      <alignment vertical="center" shrinkToFit="1"/>
      <protection locked="0"/>
    </xf>
    <xf numFmtId="38" fontId="4" fillId="0" borderId="70" xfId="3" applyFont="1" applyFill="1" applyBorder="1" applyProtection="1">
      <alignment vertical="center"/>
      <protection locked="0"/>
    </xf>
    <xf numFmtId="0" fontId="23" fillId="0" borderId="20" xfId="0" applyFont="1" applyBorder="1" applyAlignment="1" applyProtection="1">
      <alignment vertical="center" shrinkToFit="1"/>
      <protection locked="0"/>
    </xf>
    <xf numFmtId="0" fontId="14" fillId="0" borderId="21" xfId="0" applyFont="1" applyBorder="1" applyAlignment="1" applyProtection="1">
      <alignment vertical="center" shrinkToFit="1"/>
      <protection locked="0"/>
    </xf>
    <xf numFmtId="0" fontId="23" fillId="0" borderId="60" xfId="0" applyFont="1" applyBorder="1" applyAlignment="1" applyProtection="1">
      <alignment vertical="center" shrinkToFit="1"/>
      <protection locked="0"/>
    </xf>
    <xf numFmtId="0" fontId="14" fillId="0" borderId="60" xfId="0" applyFont="1" applyBorder="1" applyAlignment="1" applyProtection="1">
      <alignment vertical="center" shrinkToFit="1"/>
      <protection locked="0"/>
    </xf>
    <xf numFmtId="38" fontId="4" fillId="0" borderId="65" xfId="3" applyFont="1" applyFill="1" applyBorder="1" applyProtection="1">
      <alignment vertical="center"/>
      <protection locked="0"/>
    </xf>
    <xf numFmtId="0" fontId="36" fillId="0" borderId="36" xfId="0" applyFont="1" applyBorder="1" applyAlignment="1" applyProtection="1">
      <alignment vertical="center" shrinkToFit="1"/>
      <protection hidden="1"/>
    </xf>
    <xf numFmtId="0" fontId="36" fillId="0" borderId="22" xfId="0" applyFont="1" applyBorder="1" applyAlignment="1" applyProtection="1">
      <alignment vertical="center" shrinkToFit="1"/>
      <protection hidden="1"/>
    </xf>
    <xf numFmtId="0" fontId="7" fillId="0" borderId="26" xfId="0" applyFont="1" applyBorder="1" applyAlignment="1" applyProtection="1">
      <alignment vertical="center" shrinkToFit="1"/>
      <protection hidden="1"/>
    </xf>
    <xf numFmtId="187" fontId="7" fillId="0" borderId="60" xfId="0" applyNumberFormat="1" applyFont="1" applyBorder="1" applyAlignment="1" applyProtection="1">
      <alignment vertical="center" shrinkToFit="1"/>
      <protection hidden="1"/>
    </xf>
    <xf numFmtId="187" fontId="7" fillId="0" borderId="23" xfId="0" applyNumberFormat="1" applyFont="1" applyBorder="1" applyAlignment="1" applyProtection="1">
      <alignment vertical="center" shrinkToFit="1"/>
      <protection hidden="1"/>
    </xf>
    <xf numFmtId="0" fontId="7" fillId="0" borderId="62" xfId="0" applyFont="1" applyBorder="1" applyAlignment="1" applyProtection="1">
      <alignment horizontal="distributed" vertical="center" shrinkToFit="1"/>
      <protection hidden="1"/>
    </xf>
    <xf numFmtId="0" fontId="7" fillId="0" borderId="47" xfId="0" applyFont="1" applyBorder="1" applyAlignment="1" applyProtection="1">
      <alignment horizontal="right" vertical="center" shrinkToFit="1"/>
      <protection hidden="1"/>
    </xf>
    <xf numFmtId="0" fontId="7" fillId="0" borderId="51" xfId="0" applyFont="1" applyBorder="1" applyAlignment="1" applyProtection="1">
      <alignment horizontal="right" vertical="center" shrinkToFit="1"/>
      <protection hidden="1"/>
    </xf>
    <xf numFmtId="0" fontId="7" fillId="0" borderId="29" xfId="0" applyFont="1" applyBorder="1" applyAlignment="1" applyProtection="1">
      <alignment horizontal="right" vertical="center" shrinkToFit="1"/>
      <protection hidden="1"/>
    </xf>
    <xf numFmtId="0" fontId="7" fillId="0" borderId="30" xfId="0" applyFont="1" applyBorder="1" applyAlignment="1" applyProtection="1">
      <alignment horizontal="right" vertical="center" shrinkToFit="1"/>
      <protection hidden="1"/>
    </xf>
    <xf numFmtId="38" fontId="7" fillId="0" borderId="58" xfId="3" applyFont="1" applyBorder="1" applyAlignment="1" applyProtection="1">
      <alignment vertical="center" shrinkToFit="1"/>
      <protection hidden="1"/>
    </xf>
    <xf numFmtId="0" fontId="7" fillId="0" borderId="58" xfId="0" applyFont="1" applyBorder="1" applyAlignment="1" applyProtection="1">
      <alignment horizontal="right" vertical="center" shrinkToFit="1"/>
      <protection hidden="1"/>
    </xf>
    <xf numFmtId="38" fontId="7" fillId="0" borderId="22" xfId="3" applyFont="1" applyBorder="1" applyAlignment="1" applyProtection="1">
      <alignment vertical="center" shrinkToFit="1"/>
      <protection hidden="1"/>
    </xf>
    <xf numFmtId="38" fontId="7" fillId="0" borderId="25" xfId="3" applyFont="1" applyBorder="1" applyAlignment="1" applyProtection="1">
      <alignment vertical="center" shrinkToFit="1"/>
      <protection hidden="1"/>
    </xf>
    <xf numFmtId="0" fontId="7" fillId="0" borderId="37" xfId="0" applyFont="1" applyBorder="1" applyAlignment="1" applyProtection="1">
      <alignment vertical="center" shrinkToFit="1"/>
      <protection hidden="1"/>
    </xf>
    <xf numFmtId="187" fontId="7" fillId="0" borderId="60" xfId="3" applyNumberFormat="1" applyFont="1" applyBorder="1" applyAlignment="1" applyProtection="1">
      <alignment vertical="center" shrinkToFit="1"/>
      <protection hidden="1"/>
    </xf>
    <xf numFmtId="0" fontId="7" fillId="0" borderId="67" xfId="0" applyFont="1" applyBorder="1" applyAlignment="1" applyProtection="1">
      <alignment vertical="center" shrinkToFit="1"/>
      <protection hidden="1"/>
    </xf>
    <xf numFmtId="187" fontId="7" fillId="0" borderId="22" xfId="3" applyNumberFormat="1" applyFont="1" applyBorder="1" applyAlignment="1" applyProtection="1">
      <alignment vertical="center" shrinkToFit="1"/>
      <protection hidden="1"/>
    </xf>
    <xf numFmtId="0" fontId="7" fillId="0" borderId="61" xfId="0" applyFont="1" applyBorder="1" applyAlignment="1" applyProtection="1">
      <alignment vertical="center" shrinkToFit="1"/>
      <protection hidden="1"/>
    </xf>
    <xf numFmtId="0" fontId="7" fillId="0" borderId="3" xfId="0" applyFont="1" applyBorder="1" applyAlignment="1" applyProtection="1">
      <alignment vertical="center" shrinkToFit="1"/>
      <protection hidden="1"/>
    </xf>
    <xf numFmtId="187" fontId="7" fillId="0" borderId="24" xfId="3" applyNumberFormat="1" applyFont="1" applyBorder="1" applyAlignment="1" applyProtection="1">
      <alignment vertical="center" shrinkToFit="1"/>
      <protection hidden="1"/>
    </xf>
    <xf numFmtId="187" fontId="7" fillId="0" borderId="0" xfId="3" applyNumberFormat="1" applyFont="1" applyBorder="1" applyAlignment="1" applyProtection="1">
      <alignment vertical="center" shrinkToFit="1"/>
      <protection hidden="1"/>
    </xf>
    <xf numFmtId="0" fontId="7" fillId="0" borderId="79" xfId="0" applyFont="1" applyBorder="1" applyAlignment="1" applyProtection="1">
      <alignment horizontal="center" vertical="center" shrinkToFit="1"/>
      <protection hidden="1"/>
    </xf>
    <xf numFmtId="38" fontId="7" fillId="0" borderId="48" xfId="0" applyNumberFormat="1" applyFont="1" applyBorder="1" applyAlignment="1" applyProtection="1">
      <alignment vertical="center" shrinkToFit="1"/>
      <protection hidden="1"/>
    </xf>
    <xf numFmtId="38" fontId="7" fillId="0" borderId="48" xfId="3" applyFont="1" applyBorder="1" applyAlignment="1" applyProtection="1">
      <alignment vertical="center" shrinkToFit="1"/>
      <protection hidden="1"/>
    </xf>
    <xf numFmtId="38" fontId="7" fillId="0" borderId="1" xfId="0" applyNumberFormat="1" applyFont="1" applyBorder="1" applyAlignment="1" applyProtection="1">
      <alignment vertical="center" shrinkToFit="1"/>
      <protection hidden="1"/>
    </xf>
    <xf numFmtId="38" fontId="7" fillId="0" borderId="1" xfId="3" applyFont="1" applyBorder="1" applyAlignment="1" applyProtection="1">
      <alignment vertical="center" shrinkToFit="1"/>
      <protection hidden="1"/>
    </xf>
    <xf numFmtId="38" fontId="7" fillId="0" borderId="62" xfId="0" applyNumberFormat="1" applyFont="1" applyBorder="1" applyAlignment="1" applyProtection="1">
      <alignment vertical="center" shrinkToFit="1"/>
      <protection hidden="1"/>
    </xf>
    <xf numFmtId="38" fontId="7" fillId="0" borderId="90" xfId="3" applyFont="1" applyBorder="1" applyAlignment="1" applyProtection="1">
      <alignment vertical="center" shrinkToFit="1"/>
      <protection hidden="1"/>
    </xf>
    <xf numFmtId="0" fontId="7" fillId="0" borderId="54" xfId="0" applyFont="1" applyBorder="1" applyAlignment="1" applyProtection="1">
      <alignment vertical="center" shrinkToFit="1"/>
      <protection locked="0"/>
    </xf>
    <xf numFmtId="0" fontId="7" fillId="0" borderId="44" xfId="0" applyFont="1" applyBorder="1" applyAlignment="1" applyProtection="1">
      <alignment vertical="center" shrinkToFit="1"/>
      <protection locked="0"/>
    </xf>
    <xf numFmtId="0" fontId="7" fillId="0" borderId="44" xfId="0" applyFont="1" applyBorder="1" applyAlignment="1" applyProtection="1">
      <alignment horizontal="center" vertical="center" shrinkToFit="1"/>
      <protection hidden="1"/>
    </xf>
    <xf numFmtId="38" fontId="7" fillId="0" borderId="44" xfId="0" applyNumberFormat="1" applyFont="1" applyBorder="1" applyAlignment="1" applyProtection="1">
      <alignment horizontal="center" vertical="center" shrinkToFit="1"/>
      <protection hidden="1"/>
    </xf>
    <xf numFmtId="9" fontId="4" fillId="0" borderId="0" xfId="1" applyFont="1" applyProtection="1">
      <alignment vertical="center"/>
      <protection locked="0" hidden="1"/>
    </xf>
    <xf numFmtId="9" fontId="3" fillId="0" borderId="1" xfId="1" applyFont="1" applyFill="1" applyBorder="1" applyAlignment="1" applyProtection="1">
      <alignment horizontal="center" vertical="center"/>
      <protection locked="0"/>
    </xf>
    <xf numFmtId="9" fontId="13" fillId="0" borderId="0" xfId="0" applyNumberFormat="1" applyFont="1" applyProtection="1">
      <alignment vertical="center"/>
      <protection locked="0" hidden="1"/>
    </xf>
    <xf numFmtId="0" fontId="13" fillId="0" borderId="0" xfId="0" applyFont="1" applyProtection="1">
      <alignment vertical="center"/>
      <protection hidden="1"/>
    </xf>
    <xf numFmtId="0" fontId="4" fillId="0" borderId="0" xfId="0" applyFont="1" applyBorder="1" applyProtection="1">
      <alignment vertical="center"/>
      <protection hidden="1"/>
    </xf>
    <xf numFmtId="0" fontId="12" fillId="0" borderId="0" xfId="0" applyFont="1" applyAlignment="1" applyProtection="1">
      <alignment horizontal="center" vertical="center"/>
      <protection hidden="1"/>
    </xf>
    <xf numFmtId="0" fontId="28" fillId="0" borderId="0" xfId="0" applyFont="1" applyAlignment="1" applyProtection="1">
      <alignment horizontal="left" vertical="center"/>
      <protection hidden="1"/>
    </xf>
    <xf numFmtId="0" fontId="31" fillId="0" borderId="0" xfId="0" applyFont="1" applyAlignment="1" applyProtection="1">
      <alignment horizontal="center" vertical="center"/>
      <protection hidden="1"/>
    </xf>
    <xf numFmtId="0" fontId="4" fillId="0" borderId="0" xfId="0" applyFont="1" applyBorder="1" applyAlignment="1" applyProtection="1">
      <alignment vertical="center"/>
      <protection hidden="1"/>
    </xf>
    <xf numFmtId="0" fontId="14" fillId="0" borderId="0" xfId="0" applyFont="1" applyBorder="1" applyAlignment="1" applyProtection="1">
      <alignment horizontal="center" vertical="center"/>
      <protection hidden="1"/>
    </xf>
    <xf numFmtId="0" fontId="14" fillId="0" borderId="31" xfId="0" applyFont="1" applyBorder="1" applyAlignment="1" applyProtection="1">
      <alignment horizontal="center" vertical="center"/>
      <protection hidden="1"/>
    </xf>
    <xf numFmtId="0" fontId="14" fillId="0" borderId="32" xfId="0" applyFont="1" applyBorder="1" applyAlignment="1" applyProtection="1">
      <alignment horizontal="center" vertical="center"/>
      <protection hidden="1"/>
    </xf>
    <xf numFmtId="38" fontId="14" fillId="0" borderId="32" xfId="3" applyFont="1" applyBorder="1" applyAlignment="1" applyProtection="1">
      <alignment horizontal="center" vertical="center"/>
      <protection hidden="1"/>
    </xf>
    <xf numFmtId="0" fontId="14" fillId="0" borderId="40" xfId="0" applyFont="1" applyBorder="1" applyAlignment="1" applyProtection="1">
      <alignment horizontal="center" vertical="center"/>
      <protection hidden="1"/>
    </xf>
    <xf numFmtId="38" fontId="14" fillId="0" borderId="40" xfId="3" applyFont="1" applyBorder="1" applyAlignment="1" applyProtection="1">
      <alignment horizontal="center" vertical="center"/>
      <protection hidden="1"/>
    </xf>
    <xf numFmtId="38" fontId="14" fillId="0" borderId="41" xfId="3" applyFont="1" applyBorder="1" applyAlignment="1" applyProtection="1">
      <alignment horizontal="center" vertical="center"/>
      <protection hidden="1"/>
    </xf>
    <xf numFmtId="0" fontId="14" fillId="0" borderId="43" xfId="0" applyFont="1" applyBorder="1" applyAlignment="1" applyProtection="1">
      <alignment horizontal="center" vertical="center"/>
      <protection hidden="1"/>
    </xf>
    <xf numFmtId="0" fontId="23" fillId="0" borderId="44" xfId="0" applyFont="1" applyBorder="1" applyAlignment="1" applyProtection="1">
      <alignment horizontal="center" vertical="center" shrinkToFit="1"/>
      <protection hidden="1"/>
    </xf>
    <xf numFmtId="38" fontId="14" fillId="0" borderId="44" xfId="3" applyFont="1" applyBorder="1" applyAlignment="1" applyProtection="1">
      <alignment horizontal="center" vertical="center"/>
      <protection hidden="1"/>
    </xf>
    <xf numFmtId="0" fontId="14" fillId="0" borderId="44" xfId="0" applyFont="1" applyBorder="1" applyAlignment="1" applyProtection="1">
      <alignment horizontal="center" vertical="center"/>
      <protection hidden="1"/>
    </xf>
    <xf numFmtId="38" fontId="14" fillId="0" borderId="46" xfId="3" applyFont="1" applyBorder="1" applyAlignment="1" applyProtection="1">
      <alignment horizontal="center" vertical="center"/>
      <protection hidden="1"/>
    </xf>
    <xf numFmtId="0" fontId="14" fillId="0" borderId="47" xfId="0" applyFont="1" applyBorder="1" applyAlignment="1" applyProtection="1">
      <alignment horizontal="center" vertical="center"/>
      <protection hidden="1"/>
    </xf>
    <xf numFmtId="0" fontId="23" fillId="0" borderId="48" xfId="0" applyFont="1" applyBorder="1" applyAlignment="1" applyProtection="1">
      <alignment horizontal="center" vertical="center" shrinkToFit="1"/>
      <protection hidden="1"/>
    </xf>
    <xf numFmtId="38" fontId="14" fillId="0" borderId="48" xfId="3" applyFont="1" applyBorder="1" applyAlignment="1" applyProtection="1">
      <alignment horizontal="center" vertical="center"/>
      <protection hidden="1"/>
    </xf>
    <xf numFmtId="0" fontId="14" fillId="0" borderId="48" xfId="0" applyFont="1" applyBorder="1" applyAlignment="1" applyProtection="1">
      <alignment horizontal="center" vertical="center"/>
      <protection hidden="1"/>
    </xf>
    <xf numFmtId="38" fontId="14" fillId="0" borderId="50" xfId="3" applyFont="1" applyBorder="1" applyAlignment="1" applyProtection="1">
      <alignment horizontal="center" vertical="center"/>
      <protection hidden="1"/>
    </xf>
    <xf numFmtId="0" fontId="23" fillId="0" borderId="45" xfId="0" applyFont="1" applyBorder="1" applyAlignment="1" applyProtection="1">
      <alignment horizontal="center" vertical="center" shrinkToFit="1"/>
      <protection hidden="1"/>
    </xf>
    <xf numFmtId="38" fontId="14" fillId="0" borderId="45" xfId="3" applyFont="1" applyBorder="1" applyAlignment="1" applyProtection="1">
      <alignment horizontal="center" vertical="center"/>
      <protection hidden="1"/>
    </xf>
    <xf numFmtId="38" fontId="4" fillId="0" borderId="43" xfId="3" applyFont="1" applyBorder="1" applyAlignment="1" applyProtection="1">
      <alignment horizontal="right" vertical="center"/>
      <protection hidden="1"/>
    </xf>
    <xf numFmtId="38" fontId="4" fillId="0" borderId="44" xfId="3" applyFont="1" applyBorder="1" applyAlignment="1" applyProtection="1">
      <alignment horizontal="right" vertical="center"/>
      <protection hidden="1"/>
    </xf>
    <xf numFmtId="38" fontId="4" fillId="0" borderId="45" xfId="3" applyFont="1" applyBorder="1" applyAlignment="1" applyProtection="1">
      <alignment horizontal="right" vertical="center"/>
      <protection hidden="1"/>
    </xf>
    <xf numFmtId="38" fontId="4" fillId="0" borderId="46" xfId="3" applyFont="1" applyBorder="1" applyAlignment="1" applyProtection="1">
      <alignment horizontal="right" vertical="center"/>
      <protection hidden="1"/>
    </xf>
    <xf numFmtId="38" fontId="4" fillId="0" borderId="47" xfId="3" applyFont="1" applyBorder="1" applyAlignment="1" applyProtection="1">
      <alignment horizontal="right" vertical="center"/>
      <protection hidden="1"/>
    </xf>
    <xf numFmtId="38" fontId="4" fillId="0" borderId="48" xfId="3" applyFont="1" applyBorder="1" applyAlignment="1" applyProtection="1">
      <alignment horizontal="right" vertical="center"/>
      <protection hidden="1"/>
    </xf>
    <xf numFmtId="38" fontId="4" fillId="0" borderId="49" xfId="3" applyFont="1" applyBorder="1" applyAlignment="1" applyProtection="1">
      <alignment horizontal="right" vertical="center"/>
      <protection hidden="1"/>
    </xf>
    <xf numFmtId="38" fontId="4" fillId="0" borderId="50" xfId="3" applyFont="1" applyBorder="1" applyAlignment="1" applyProtection="1">
      <alignment horizontal="right" vertical="center"/>
      <protection hidden="1"/>
    </xf>
    <xf numFmtId="38" fontId="4" fillId="0" borderId="51" xfId="3" applyFont="1" applyBorder="1" applyAlignment="1" applyProtection="1">
      <alignment horizontal="right" vertical="center"/>
      <protection hidden="1"/>
    </xf>
    <xf numFmtId="0" fontId="4" fillId="0" borderId="0" xfId="0" applyNumberFormat="1" applyFont="1" applyBorder="1" applyAlignment="1" applyProtection="1">
      <alignment horizontal="distributed" vertical="center"/>
      <protection hidden="1"/>
    </xf>
    <xf numFmtId="38" fontId="4" fillId="0" borderId="39" xfId="3" applyFont="1" applyFill="1" applyBorder="1" applyProtection="1">
      <alignment vertical="center"/>
      <protection hidden="1"/>
    </xf>
    <xf numFmtId="38" fontId="4" fillId="0" borderId="48" xfId="3" applyFont="1" applyBorder="1" applyProtection="1">
      <alignment vertical="center"/>
      <protection hidden="1"/>
    </xf>
    <xf numFmtId="38" fontId="4" fillId="0" borderId="44" xfId="3" applyFont="1" applyBorder="1" applyProtection="1">
      <alignment vertical="center"/>
      <protection hidden="1"/>
    </xf>
    <xf numFmtId="38" fontId="4" fillId="0" borderId="45" xfId="3" applyFont="1" applyBorder="1" applyProtection="1">
      <alignment vertical="center"/>
      <protection hidden="1"/>
    </xf>
    <xf numFmtId="38" fontId="4" fillId="0" borderId="46" xfId="3" applyFont="1" applyBorder="1" applyProtection="1">
      <alignment vertical="center"/>
      <protection hidden="1"/>
    </xf>
    <xf numFmtId="38" fontId="4" fillId="0" borderId="47" xfId="3" applyFont="1" applyBorder="1" applyProtection="1">
      <alignment vertical="center"/>
      <protection hidden="1"/>
    </xf>
    <xf numFmtId="38" fontId="4" fillId="0" borderId="51" xfId="3" applyFont="1" applyBorder="1" applyProtection="1">
      <alignment vertical="center"/>
      <protection hidden="1"/>
    </xf>
    <xf numFmtId="38" fontId="4" fillId="0" borderId="49" xfId="3" applyFont="1" applyBorder="1" applyProtection="1">
      <alignment vertical="center"/>
      <protection hidden="1"/>
    </xf>
    <xf numFmtId="38" fontId="4" fillId="0" borderId="50" xfId="3" applyFont="1" applyBorder="1" applyProtection="1">
      <alignment vertical="center"/>
      <protection hidden="1"/>
    </xf>
    <xf numFmtId="38" fontId="4" fillId="0" borderId="48" xfId="3" applyFont="1" applyFill="1" applyBorder="1" applyProtection="1">
      <alignment vertical="center"/>
      <protection hidden="1"/>
    </xf>
    <xf numFmtId="38" fontId="4" fillId="0" borderId="29" xfId="3" applyFont="1" applyBorder="1" applyProtection="1">
      <alignment vertical="center"/>
      <protection hidden="1"/>
    </xf>
    <xf numFmtId="38" fontId="4" fillId="0" borderId="58" xfId="3" applyFont="1" applyBorder="1" applyProtection="1">
      <alignment vertical="center"/>
      <protection hidden="1"/>
    </xf>
    <xf numFmtId="38" fontId="4" fillId="0" borderId="71" xfId="3" applyFont="1" applyBorder="1" applyProtection="1">
      <alignment vertical="center"/>
      <protection hidden="1"/>
    </xf>
    <xf numFmtId="38" fontId="4" fillId="0" borderId="72" xfId="3" applyFont="1" applyBorder="1" applyProtection="1">
      <alignment vertical="center"/>
      <protection hidden="1"/>
    </xf>
    <xf numFmtId="0" fontId="3" fillId="0" borderId="0" xfId="0" applyNumberFormat="1" applyFont="1" applyBorder="1" applyAlignment="1" applyProtection="1">
      <alignment horizontal="distributed" vertical="center"/>
      <protection hidden="1"/>
    </xf>
    <xf numFmtId="38" fontId="4" fillId="0" borderId="26" xfId="3" applyFont="1" applyBorder="1" applyProtection="1">
      <alignment vertical="center"/>
      <protection hidden="1"/>
    </xf>
    <xf numFmtId="38" fontId="4" fillId="0" borderId="28" xfId="3" applyFont="1" applyBorder="1" applyProtection="1">
      <alignment vertical="center"/>
      <protection hidden="1"/>
    </xf>
    <xf numFmtId="38" fontId="4" fillId="0" borderId="27" xfId="3" applyFont="1" applyBorder="1" applyProtection="1">
      <alignment vertical="center"/>
      <protection hidden="1"/>
    </xf>
    <xf numFmtId="38" fontId="4" fillId="0" borderId="25" xfId="3" applyFont="1" applyBorder="1" applyProtection="1">
      <alignment vertical="center"/>
      <protection hidden="1"/>
    </xf>
    <xf numFmtId="38" fontId="4" fillId="0" borderId="53" xfId="3" applyFont="1" applyBorder="1" applyProtection="1">
      <alignment vertical="center"/>
      <protection hidden="1"/>
    </xf>
    <xf numFmtId="38" fontId="4" fillId="0" borderId="54" xfId="3" applyFont="1" applyBorder="1" applyProtection="1">
      <alignment vertical="center"/>
      <protection hidden="1"/>
    </xf>
    <xf numFmtId="38" fontId="4" fillId="0" borderId="56" xfId="3" applyFont="1" applyBorder="1" applyProtection="1">
      <alignment vertical="center"/>
      <protection hidden="1"/>
    </xf>
    <xf numFmtId="38" fontId="4" fillId="0" borderId="57" xfId="3" applyFont="1" applyBorder="1" applyProtection="1">
      <alignment vertical="center"/>
      <protection hidden="1"/>
    </xf>
    <xf numFmtId="0" fontId="3" fillId="0" borderId="21" xfId="0" applyNumberFormat="1" applyFont="1" applyBorder="1" applyAlignment="1" applyProtection="1">
      <alignment horizontal="distributed" vertical="center"/>
      <protection hidden="1"/>
    </xf>
    <xf numFmtId="38" fontId="4" fillId="0" borderId="43" xfId="3" applyFont="1" applyBorder="1" applyProtection="1">
      <alignment vertical="center"/>
      <protection hidden="1"/>
    </xf>
    <xf numFmtId="38" fontId="4" fillId="0" borderId="30" xfId="3" applyFont="1" applyBorder="1" applyProtection="1">
      <alignment vertical="center"/>
      <protection hidden="1"/>
    </xf>
    <xf numFmtId="38" fontId="4" fillId="0" borderId="55" xfId="3" applyFont="1" applyBorder="1" applyProtection="1">
      <alignment vertical="center"/>
      <protection hidden="1"/>
    </xf>
    <xf numFmtId="0" fontId="3" fillId="0" borderId="21" xfId="0" applyFont="1" applyBorder="1" applyAlignment="1" applyProtection="1">
      <alignment horizontal="distributed" vertical="center"/>
      <protection hidden="1"/>
    </xf>
    <xf numFmtId="0" fontId="4" fillId="0" borderId="4" xfId="0" applyNumberFormat="1" applyFont="1" applyBorder="1" applyAlignment="1" applyProtection="1">
      <alignment horizontal="distributed" vertical="center"/>
      <protection hidden="1"/>
    </xf>
    <xf numFmtId="38" fontId="4" fillId="0" borderId="52" xfId="3" applyFont="1" applyBorder="1" applyProtection="1">
      <alignment vertical="center"/>
      <protection hidden="1"/>
    </xf>
    <xf numFmtId="38" fontId="4" fillId="0" borderId="59" xfId="3" applyFont="1" applyBorder="1" applyProtection="1">
      <alignment vertical="center"/>
      <protection hidden="1"/>
    </xf>
    <xf numFmtId="0" fontId="3" fillId="0" borderId="0" xfId="0" applyFont="1" applyBorder="1" applyAlignment="1" applyProtection="1">
      <alignment horizontal="distributed" vertical="center"/>
      <protection hidden="1"/>
    </xf>
    <xf numFmtId="38" fontId="4" fillId="0" borderId="31" xfId="3" applyFont="1" applyFill="1" applyBorder="1" applyAlignment="1" applyProtection="1">
      <alignment vertical="center"/>
      <protection hidden="1"/>
    </xf>
    <xf numFmtId="38" fontId="4" fillId="0" borderId="40" xfId="3" applyFont="1" applyFill="1" applyBorder="1" applyAlignment="1" applyProtection="1">
      <alignment vertical="center"/>
      <protection hidden="1"/>
    </xf>
    <xf numFmtId="38" fontId="4" fillId="0" borderId="32" xfId="3" applyFont="1" applyFill="1" applyBorder="1" applyAlignment="1" applyProtection="1">
      <alignment vertical="center"/>
      <protection hidden="1"/>
    </xf>
    <xf numFmtId="38" fontId="4" fillId="0" borderId="41" xfId="3" applyFont="1" applyFill="1" applyBorder="1" applyAlignment="1" applyProtection="1">
      <alignment vertical="center"/>
      <protection hidden="1"/>
    </xf>
    <xf numFmtId="38" fontId="4" fillId="0" borderId="2" xfId="3" applyFont="1" applyFill="1" applyBorder="1" applyAlignment="1" applyProtection="1">
      <alignment vertical="center"/>
      <protection hidden="1"/>
    </xf>
    <xf numFmtId="38" fontId="4" fillId="0" borderId="2" xfId="3" applyFont="1" applyFill="1" applyBorder="1" applyProtection="1">
      <alignment vertical="center"/>
      <protection hidden="1"/>
    </xf>
    <xf numFmtId="0" fontId="17" fillId="0" borderId="0" xfId="0" applyFont="1" applyProtection="1">
      <alignment vertical="center"/>
      <protection hidden="1"/>
    </xf>
    <xf numFmtId="38" fontId="4" fillId="0" borderId="31" xfId="3" applyFont="1" applyBorder="1" applyProtection="1">
      <alignment vertical="center"/>
      <protection hidden="1"/>
    </xf>
    <xf numFmtId="0" fontId="4" fillId="0" borderId="27" xfId="0" applyFont="1" applyBorder="1" applyAlignment="1" applyProtection="1">
      <alignment vertical="center"/>
      <protection hidden="1"/>
    </xf>
    <xf numFmtId="0" fontId="4" fillId="0" borderId="62" xfId="0" applyFont="1" applyBorder="1" applyAlignment="1" applyProtection="1">
      <alignment vertical="center"/>
      <protection hidden="1"/>
    </xf>
    <xf numFmtId="0" fontId="4" fillId="0" borderId="51" xfId="0" applyFont="1" applyBorder="1" applyAlignment="1" applyProtection="1">
      <alignment vertical="center"/>
      <protection hidden="1"/>
    </xf>
    <xf numFmtId="0" fontId="4" fillId="0" borderId="50" xfId="0" applyFont="1" applyBorder="1" applyAlignment="1" applyProtection="1">
      <alignment vertical="center"/>
      <protection hidden="1"/>
    </xf>
    <xf numFmtId="0" fontId="4" fillId="0" borderId="30" xfId="0" applyFont="1" applyBorder="1" applyAlignment="1" applyProtection="1">
      <alignment vertical="center"/>
      <protection hidden="1"/>
    </xf>
    <xf numFmtId="0" fontId="4" fillId="0" borderId="68" xfId="0" applyFont="1" applyBorder="1" applyAlignment="1" applyProtection="1">
      <alignment vertical="center"/>
      <protection hidden="1"/>
    </xf>
    <xf numFmtId="0" fontId="3" fillId="0" borderId="37" xfId="0" applyFont="1" applyBorder="1" applyAlignment="1" applyProtection="1">
      <alignment vertical="center" shrinkToFit="1"/>
      <protection locked="0"/>
    </xf>
    <xf numFmtId="0" fontId="3" fillId="0" borderId="64" xfId="0" applyFont="1" applyBorder="1" applyAlignment="1" applyProtection="1">
      <alignment vertical="center" shrinkToFit="1"/>
      <protection locked="0"/>
    </xf>
    <xf numFmtId="0" fontId="3" fillId="0" borderId="51" xfId="0" applyFont="1" applyBorder="1" applyAlignment="1" applyProtection="1">
      <alignment vertical="center" shrinkToFit="1"/>
      <protection locked="0"/>
    </xf>
    <xf numFmtId="0" fontId="8" fillId="2" borderId="21" xfId="0" applyFont="1" applyFill="1" applyBorder="1" applyAlignment="1" applyProtection="1">
      <alignment horizontal="distributed" vertical="center"/>
      <protection hidden="1"/>
    </xf>
    <xf numFmtId="0" fontId="8" fillId="2" borderId="20" xfId="0" applyFont="1" applyFill="1" applyBorder="1" applyAlignment="1" applyProtection="1">
      <alignment horizontal="distributed" vertical="center"/>
      <protection hidden="1"/>
    </xf>
    <xf numFmtId="0" fontId="14" fillId="0" borderId="37" xfId="0" applyFont="1" applyBorder="1" applyAlignment="1" applyProtection="1">
      <alignment vertical="center" shrinkToFit="1"/>
      <protection locked="0"/>
    </xf>
    <xf numFmtId="0" fontId="14" fillId="0" borderId="64" xfId="0" applyFont="1" applyBorder="1" applyAlignment="1" applyProtection="1">
      <alignment vertical="center" shrinkToFit="1"/>
      <protection locked="0"/>
    </xf>
    <xf numFmtId="0" fontId="14" fillId="0" borderId="51" xfId="0" applyFont="1" applyBorder="1" applyAlignment="1" applyProtection="1">
      <alignment vertical="center" shrinkToFit="1"/>
      <protection locked="0"/>
    </xf>
    <xf numFmtId="0" fontId="8" fillId="2" borderId="23" xfId="0" applyFont="1" applyFill="1" applyBorder="1" applyAlignment="1" applyProtection="1">
      <alignment horizontal="distributed" vertical="center" shrinkToFit="1"/>
      <protection hidden="1"/>
    </xf>
    <xf numFmtId="0" fontId="8" fillId="2" borderId="20" xfId="0" applyFont="1" applyFill="1" applyBorder="1" applyAlignment="1" applyProtection="1">
      <alignment horizontal="distributed" vertical="center" shrinkToFit="1"/>
      <protection hidden="1"/>
    </xf>
    <xf numFmtId="0" fontId="3" fillId="2" borderId="21" xfId="0" applyNumberFormat="1" applyFont="1" applyFill="1" applyBorder="1" applyAlignment="1" applyProtection="1">
      <alignment horizontal="distributed" vertical="center"/>
      <protection hidden="1"/>
    </xf>
    <xf numFmtId="0" fontId="14" fillId="2" borderId="17" xfId="0" applyFont="1" applyFill="1" applyBorder="1" applyAlignment="1" applyProtection="1">
      <alignment horizontal="center" vertical="center"/>
      <protection hidden="1"/>
    </xf>
    <xf numFmtId="0" fontId="14" fillId="2" borderId="3" xfId="0" applyFont="1" applyFill="1" applyBorder="1" applyAlignment="1" applyProtection="1">
      <alignment horizontal="center" vertical="center"/>
      <protection hidden="1"/>
    </xf>
    <xf numFmtId="0" fontId="3" fillId="2" borderId="23" xfId="0" applyNumberFormat="1" applyFont="1" applyFill="1" applyBorder="1" applyAlignment="1" applyProtection="1">
      <alignment horizontal="distributed" vertical="center"/>
      <protection hidden="1"/>
    </xf>
    <xf numFmtId="0" fontId="3" fillId="2" borderId="20" xfId="0" applyNumberFormat="1" applyFont="1" applyFill="1" applyBorder="1" applyAlignment="1" applyProtection="1">
      <alignment horizontal="distributed" vertical="center"/>
      <protection hidden="1"/>
    </xf>
    <xf numFmtId="0" fontId="9" fillId="2" borderId="21" xfId="0" applyNumberFormat="1" applyFont="1" applyFill="1" applyBorder="1" applyAlignment="1" applyProtection="1">
      <alignment horizontal="distributed" vertical="center"/>
      <protection hidden="1"/>
    </xf>
    <xf numFmtId="0" fontId="9" fillId="2" borderId="20" xfId="0" applyNumberFormat="1" applyFont="1" applyFill="1" applyBorder="1" applyAlignment="1" applyProtection="1">
      <alignment horizontal="distributed" vertical="center"/>
      <protection hidden="1"/>
    </xf>
    <xf numFmtId="0" fontId="9" fillId="2" borderId="23" xfId="0" applyNumberFormat="1" applyFont="1" applyFill="1" applyBorder="1" applyAlignment="1" applyProtection="1">
      <alignment horizontal="distributed" vertical="center"/>
      <protection hidden="1"/>
    </xf>
    <xf numFmtId="0" fontId="14" fillId="2" borderId="23" xfId="0" applyFont="1" applyFill="1" applyBorder="1" applyAlignment="1" applyProtection="1">
      <alignment horizontal="distributed" vertical="center" shrinkToFit="1"/>
      <protection hidden="1"/>
    </xf>
    <xf numFmtId="0" fontId="14" fillId="2" borderId="20" xfId="0" applyFont="1" applyFill="1" applyBorder="1" applyAlignment="1" applyProtection="1">
      <alignment horizontal="distributed" vertical="center" shrinkToFit="1"/>
      <protection hidden="1"/>
    </xf>
    <xf numFmtId="0" fontId="18" fillId="2" borderId="7" xfId="0" applyFont="1" applyFill="1" applyBorder="1" applyAlignment="1" applyProtection="1">
      <alignment horizontal="left" vertical="center" indent="1"/>
      <protection hidden="1"/>
    </xf>
    <xf numFmtId="0" fontId="18" fillId="2" borderId="6" xfId="0" applyFont="1" applyFill="1" applyBorder="1" applyAlignment="1" applyProtection="1">
      <alignment horizontal="left" vertical="center" indent="1"/>
      <protection hidden="1"/>
    </xf>
    <xf numFmtId="0" fontId="12" fillId="2" borderId="0" xfId="0" applyFont="1" applyFill="1" applyAlignment="1" applyProtection="1">
      <alignment horizontal="distributed" vertical="center"/>
      <protection hidden="1"/>
    </xf>
    <xf numFmtId="0" fontId="3" fillId="0" borderId="39" xfId="0" applyFont="1" applyBorder="1" applyAlignment="1" applyProtection="1">
      <alignment vertical="center" shrinkToFit="1"/>
      <protection locked="0"/>
    </xf>
    <xf numFmtId="0" fontId="3" fillId="0" borderId="63" xfId="0" applyFont="1" applyBorder="1" applyAlignment="1" applyProtection="1">
      <alignment vertical="center" shrinkToFit="1"/>
      <protection locked="0"/>
    </xf>
    <xf numFmtId="0" fontId="3" fillId="0" borderId="52" xfId="0" applyFont="1" applyBorder="1" applyAlignment="1" applyProtection="1">
      <alignment vertical="center" shrinkToFit="1"/>
      <protection locked="0"/>
    </xf>
    <xf numFmtId="0" fontId="3" fillId="0" borderId="36" xfId="0" applyFont="1" applyBorder="1" applyAlignment="1" applyProtection="1">
      <alignment vertical="center" shrinkToFit="1"/>
      <protection locked="0"/>
    </xf>
    <xf numFmtId="0" fontId="3" fillId="0" borderId="75" xfId="0" applyFont="1" applyBorder="1" applyAlignment="1" applyProtection="1">
      <alignment vertical="center" shrinkToFit="1"/>
      <protection locked="0"/>
    </xf>
    <xf numFmtId="0" fontId="3" fillId="0" borderId="27" xfId="0" applyFont="1" applyBorder="1" applyAlignment="1" applyProtection="1">
      <alignment vertical="center" shrinkToFit="1"/>
      <protection locked="0"/>
    </xf>
    <xf numFmtId="0" fontId="4" fillId="0" borderId="43" xfId="0" applyFont="1" applyBorder="1" applyAlignment="1" applyProtection="1">
      <alignment horizontal="left" vertical="center"/>
      <protection locked="0"/>
    </xf>
    <xf numFmtId="0" fontId="4" fillId="0" borderId="44" xfId="0" applyFont="1" applyBorder="1" applyAlignment="1" applyProtection="1">
      <alignment horizontal="left" vertical="center"/>
      <protection locked="0"/>
    </xf>
    <xf numFmtId="0" fontId="4" fillId="0" borderId="47" xfId="0" applyFont="1" applyBorder="1" applyAlignment="1" applyProtection="1">
      <alignment horizontal="left" vertical="center"/>
      <protection locked="0"/>
    </xf>
    <xf numFmtId="0" fontId="4" fillId="0" borderId="48" xfId="0" applyFont="1" applyBorder="1" applyAlignment="1" applyProtection="1">
      <alignment horizontal="left" vertical="center"/>
      <protection locked="0"/>
    </xf>
    <xf numFmtId="0" fontId="0" fillId="0" borderId="64" xfId="0" applyBorder="1" applyAlignment="1" applyProtection="1">
      <alignment vertical="center" shrinkToFit="1"/>
      <protection locked="0"/>
    </xf>
    <xf numFmtId="0" fontId="0" fillId="0" borderId="51" xfId="0" applyBorder="1" applyAlignment="1" applyProtection="1">
      <alignment vertical="center" shrinkToFit="1"/>
      <protection locked="0"/>
    </xf>
    <xf numFmtId="0" fontId="4" fillId="0" borderId="37" xfId="0" applyFont="1" applyBorder="1" applyAlignment="1" applyProtection="1">
      <alignment horizontal="left" vertical="center"/>
      <protection locked="0"/>
    </xf>
    <xf numFmtId="0" fontId="4" fillId="0" borderId="64" xfId="0" applyFont="1" applyBorder="1" applyAlignment="1" applyProtection="1">
      <alignment horizontal="left" vertical="center"/>
      <protection locked="0"/>
    </xf>
    <xf numFmtId="0" fontId="4" fillId="0" borderId="51" xfId="0" applyFont="1" applyBorder="1" applyAlignment="1" applyProtection="1">
      <alignment horizontal="left" vertical="center"/>
      <protection locked="0"/>
    </xf>
    <xf numFmtId="0" fontId="12" fillId="2" borderId="0" xfId="0" applyFont="1" applyFill="1" applyAlignment="1" applyProtection="1">
      <alignment vertical="center"/>
      <protection hidden="1"/>
    </xf>
    <xf numFmtId="0" fontId="18" fillId="2" borderId="7" xfId="0" applyFont="1" applyFill="1" applyBorder="1" applyAlignment="1" applyProtection="1">
      <alignment vertical="center"/>
      <protection hidden="1"/>
    </xf>
    <xf numFmtId="0" fontId="18" fillId="2" borderId="6" xfId="0" applyFont="1" applyFill="1" applyBorder="1" applyAlignment="1" applyProtection="1">
      <alignment vertical="center"/>
      <protection hidden="1"/>
    </xf>
    <xf numFmtId="0" fontId="11" fillId="2" borderId="17" xfId="0" applyFont="1" applyFill="1" applyBorder="1" applyAlignment="1" applyProtection="1">
      <alignment horizontal="distributed" vertical="center" wrapText="1"/>
      <protection hidden="1"/>
    </xf>
    <xf numFmtId="0" fontId="11" fillId="2" borderId="3" xfId="0" applyFont="1" applyFill="1" applyBorder="1" applyAlignment="1" applyProtection="1">
      <alignment horizontal="distributed" vertical="center" wrapText="1"/>
      <protection hidden="1"/>
    </xf>
    <xf numFmtId="38" fontId="6" fillId="0" borderId="17" xfId="3" applyFont="1" applyFill="1" applyBorder="1" applyAlignment="1" applyProtection="1">
      <alignment horizontal="right" vertical="center" shrinkToFit="1"/>
      <protection locked="0"/>
    </xf>
    <xf numFmtId="38" fontId="6" fillId="0" borderId="3" xfId="3" applyFont="1" applyFill="1" applyBorder="1" applyAlignment="1" applyProtection="1">
      <alignment horizontal="right" vertical="center" shrinkToFit="1"/>
      <protection locked="0"/>
    </xf>
    <xf numFmtId="0" fontId="16" fillId="2" borderId="31" xfId="0" applyFont="1" applyFill="1" applyBorder="1" applyAlignment="1" applyProtection="1">
      <alignment horizontal="center" vertical="center"/>
      <protection hidden="1"/>
    </xf>
    <xf numFmtId="0" fontId="16" fillId="2" borderId="40" xfId="0" applyFont="1" applyFill="1" applyBorder="1" applyAlignment="1" applyProtection="1">
      <alignment horizontal="center" vertical="center"/>
      <protection hidden="1"/>
    </xf>
    <xf numFmtId="0" fontId="4" fillId="0" borderId="31" xfId="0" applyFont="1" applyBorder="1" applyAlignment="1" applyProtection="1">
      <alignment horizontal="left" vertical="center"/>
      <protection locked="0"/>
    </xf>
    <xf numFmtId="0" fontId="4" fillId="0" borderId="40" xfId="0" applyFont="1" applyBorder="1" applyAlignment="1" applyProtection="1">
      <alignment horizontal="left" vertical="center"/>
      <protection locked="0"/>
    </xf>
    <xf numFmtId="0" fontId="3" fillId="2" borderId="17" xfId="0" applyNumberFormat="1" applyFont="1" applyFill="1" applyBorder="1" applyAlignment="1" applyProtection="1">
      <alignment horizontal="distributed" vertical="center"/>
      <protection hidden="1"/>
    </xf>
    <xf numFmtId="0" fontId="3" fillId="2" borderId="3" xfId="0" applyNumberFormat="1" applyFont="1" applyFill="1" applyBorder="1" applyAlignment="1" applyProtection="1">
      <alignment horizontal="distributed" vertical="center"/>
      <protection hidden="1"/>
    </xf>
    <xf numFmtId="38" fontId="8" fillId="2" borderId="7" xfId="3" applyFont="1" applyFill="1" applyBorder="1" applyAlignment="1" applyProtection="1">
      <alignment horizontal="distributed" vertical="center" wrapText="1" shrinkToFit="1"/>
      <protection hidden="1"/>
    </xf>
    <xf numFmtId="38" fontId="8" fillId="2" borderId="2" xfId="3" applyFont="1" applyFill="1" applyBorder="1" applyAlignment="1" applyProtection="1">
      <alignment horizontal="distributed" vertical="center" wrapText="1" shrinkToFit="1"/>
      <protection hidden="1"/>
    </xf>
    <xf numFmtId="38" fontId="8" fillId="2" borderId="6" xfId="3" applyFont="1" applyFill="1" applyBorder="1" applyAlignment="1" applyProtection="1">
      <alignment horizontal="distributed" vertical="center" wrapText="1" shrinkToFit="1"/>
      <protection hidden="1"/>
    </xf>
    <xf numFmtId="0" fontId="23" fillId="2" borderId="17" xfId="0" applyFont="1" applyFill="1" applyBorder="1" applyAlignment="1" applyProtection="1">
      <alignment horizontal="center" vertical="center"/>
      <protection hidden="1"/>
    </xf>
    <xf numFmtId="0" fontId="23" fillId="2" borderId="3" xfId="0" applyFont="1" applyFill="1" applyBorder="1" applyAlignment="1" applyProtection="1">
      <alignment horizontal="center" vertical="center"/>
      <protection hidden="1"/>
    </xf>
    <xf numFmtId="0" fontId="19" fillId="0" borderId="0" xfId="0" applyFont="1" applyAlignment="1" applyProtection="1">
      <alignment horizontal="center" vertical="center"/>
      <protection hidden="1"/>
    </xf>
    <xf numFmtId="38" fontId="21" fillId="0" borderId="0" xfId="3" applyFont="1" applyBorder="1" applyAlignment="1" applyProtection="1">
      <alignment horizontal="right" vertical="center"/>
      <protection hidden="1"/>
    </xf>
    <xf numFmtId="38" fontId="8" fillId="2" borderId="7" xfId="3" applyFont="1" applyFill="1" applyBorder="1" applyAlignment="1" applyProtection="1">
      <alignment horizontal="distributed" vertical="center"/>
      <protection hidden="1"/>
    </xf>
    <xf numFmtId="38" fontId="8" fillId="2" borderId="2" xfId="3" applyFont="1" applyFill="1" applyBorder="1" applyAlignment="1" applyProtection="1">
      <alignment horizontal="distributed" vertical="center"/>
      <protection hidden="1"/>
    </xf>
    <xf numFmtId="38" fontId="8" fillId="2" borderId="6" xfId="3" applyFont="1" applyFill="1" applyBorder="1" applyAlignment="1" applyProtection="1">
      <alignment horizontal="distributed" vertical="center"/>
      <protection hidden="1"/>
    </xf>
    <xf numFmtId="0" fontId="20" fillId="0" borderId="0" xfId="0" applyFont="1" applyAlignment="1" applyProtection="1">
      <alignment horizontal="left" vertical="center"/>
      <protection hidden="1"/>
    </xf>
    <xf numFmtId="0" fontId="21" fillId="0" borderId="0" xfId="0" applyFont="1" applyAlignment="1" applyProtection="1">
      <alignment horizontal="center" vertical="center"/>
      <protection hidden="1"/>
    </xf>
    <xf numFmtId="38" fontId="8" fillId="2" borderId="7" xfId="3" applyFont="1" applyFill="1" applyBorder="1" applyAlignment="1" applyProtection="1">
      <alignment horizontal="center" vertical="center" shrinkToFit="1"/>
      <protection hidden="1"/>
    </xf>
    <xf numFmtId="38" fontId="8" fillId="2" borderId="2" xfId="3" applyFont="1" applyFill="1" applyBorder="1" applyAlignment="1" applyProtection="1">
      <alignment horizontal="center" vertical="center" shrinkToFit="1"/>
      <protection hidden="1"/>
    </xf>
    <xf numFmtId="38" fontId="8" fillId="2" borderId="6" xfId="3" applyFont="1" applyFill="1" applyBorder="1" applyAlignment="1" applyProtection="1">
      <alignment horizontal="center" vertical="center" shrinkToFit="1"/>
      <protection hidden="1"/>
    </xf>
    <xf numFmtId="0" fontId="7" fillId="0" borderId="64" xfId="0" applyFont="1" applyBorder="1" applyAlignment="1" applyProtection="1">
      <alignment horizontal="center" vertical="center"/>
      <protection locked="0"/>
    </xf>
    <xf numFmtId="38" fontId="7" fillId="0" borderId="54" xfId="0" applyNumberFormat="1" applyFont="1" applyBorder="1" applyAlignment="1" applyProtection="1">
      <alignment horizontal="right" vertical="center" shrinkToFit="1"/>
      <protection locked="0"/>
    </xf>
    <xf numFmtId="0" fontId="7" fillId="0" borderId="44" xfId="0" applyFont="1" applyBorder="1" applyAlignment="1" applyProtection="1">
      <alignment horizontal="right" vertical="center" shrinkToFit="1"/>
      <protection locked="0"/>
    </xf>
    <xf numFmtId="0" fontId="7" fillId="0" borderId="48" xfId="0" applyFont="1" applyBorder="1" applyAlignment="1" applyProtection="1">
      <alignment horizontal="center" vertical="center"/>
      <protection locked="0"/>
    </xf>
    <xf numFmtId="0" fontId="7" fillId="0" borderId="48" xfId="0" applyFont="1" applyBorder="1" applyAlignment="1" applyProtection="1">
      <alignment horizontal="distributed" vertical="center" shrinkToFit="1"/>
      <protection locked="0"/>
    </xf>
    <xf numFmtId="0" fontId="7" fillId="0" borderId="54" xfId="0" applyFont="1" applyBorder="1" applyAlignment="1" applyProtection="1">
      <alignment horizontal="center" vertical="center" shrinkToFit="1"/>
      <protection locked="0"/>
    </xf>
    <xf numFmtId="0" fontId="7" fillId="0" borderId="44" xfId="0" applyFont="1" applyBorder="1" applyAlignment="1" applyProtection="1">
      <alignment horizontal="center" vertical="center" shrinkToFit="1"/>
      <protection locked="0"/>
    </xf>
    <xf numFmtId="0" fontId="7" fillId="0" borderId="54" xfId="0" applyFont="1" applyBorder="1" applyAlignment="1" applyProtection="1">
      <alignment horizontal="center" vertical="center" shrinkToFit="1"/>
      <protection hidden="1"/>
    </xf>
    <xf numFmtId="0" fontId="7" fillId="0" borderId="44" xfId="0" applyFont="1" applyBorder="1" applyAlignment="1" applyProtection="1">
      <alignment horizontal="center" vertical="center" shrinkToFit="1"/>
      <protection hidden="1"/>
    </xf>
    <xf numFmtId="0" fontId="14" fillId="0" borderId="0" xfId="0" applyFont="1" applyAlignment="1" applyProtection="1">
      <alignment vertical="center" shrinkToFit="1"/>
      <protection hidden="1"/>
    </xf>
    <xf numFmtId="0" fontId="7" fillId="0" borderId="54" xfId="0" applyFont="1" applyBorder="1" applyAlignment="1" applyProtection="1">
      <alignment vertical="center" wrapText="1" shrinkToFit="1"/>
      <protection hidden="1"/>
    </xf>
    <xf numFmtId="0" fontId="7" fillId="0" borderId="44" xfId="0" applyFont="1" applyBorder="1" applyAlignment="1" applyProtection="1">
      <alignment vertical="center" wrapText="1" shrinkToFit="1"/>
      <protection hidden="1"/>
    </xf>
    <xf numFmtId="0" fontId="7" fillId="0" borderId="49" xfId="0" applyFont="1" applyBorder="1" applyAlignment="1" applyProtection="1">
      <alignment horizontal="distributed" vertical="center" indent="1"/>
      <protection hidden="1"/>
    </xf>
    <xf numFmtId="0" fontId="7" fillId="0" borderId="51" xfId="0" applyFont="1" applyBorder="1" applyAlignment="1" applyProtection="1">
      <alignment horizontal="distributed" vertical="center" indent="1"/>
      <protection hidden="1"/>
    </xf>
    <xf numFmtId="0" fontId="7" fillId="0" borderId="48" xfId="0" applyFont="1" applyBorder="1" applyAlignment="1" applyProtection="1">
      <alignment horizontal="center" vertical="center"/>
      <protection hidden="1"/>
    </xf>
    <xf numFmtId="0" fontId="7" fillId="0" borderId="48" xfId="0" applyFont="1" applyBorder="1" applyAlignment="1" applyProtection="1">
      <alignment horizontal="distributed" vertical="center" shrinkToFit="1"/>
      <protection hidden="1"/>
    </xf>
    <xf numFmtId="0" fontId="7" fillId="0" borderId="54" xfId="0" applyFont="1" applyBorder="1" applyAlignment="1" applyProtection="1">
      <alignment horizontal="center" vertical="center"/>
      <protection hidden="1"/>
    </xf>
    <xf numFmtId="0" fontId="7" fillId="0" borderId="44" xfId="0" applyFont="1" applyBorder="1" applyAlignment="1" applyProtection="1">
      <alignment horizontal="center" vertical="center"/>
      <protection hidden="1"/>
    </xf>
    <xf numFmtId="0" fontId="7" fillId="0" borderId="91" xfId="0" applyFont="1" applyBorder="1" applyAlignment="1" applyProtection="1">
      <alignment horizontal="center" vertical="center" shrinkToFit="1"/>
      <protection hidden="1"/>
    </xf>
    <xf numFmtId="0" fontId="7" fillId="0" borderId="92" xfId="0" applyFont="1" applyBorder="1" applyAlignment="1" applyProtection="1">
      <alignment horizontal="center" vertical="center" shrinkToFit="1"/>
      <protection hidden="1"/>
    </xf>
    <xf numFmtId="38" fontId="7" fillId="0" borderId="54" xfId="3" applyFont="1" applyBorder="1" applyAlignment="1" applyProtection="1">
      <alignment horizontal="right" vertical="center" shrinkToFit="1"/>
      <protection hidden="1"/>
    </xf>
    <xf numFmtId="38" fontId="7" fillId="0" borderId="44" xfId="3" applyFont="1" applyBorder="1" applyAlignment="1" applyProtection="1">
      <alignment horizontal="right" vertical="center" shrinkToFit="1"/>
      <protection hidden="1"/>
    </xf>
    <xf numFmtId="38" fontId="7" fillId="0" borderId="48" xfId="0" applyNumberFormat="1" applyFont="1" applyBorder="1" applyAlignment="1" applyProtection="1">
      <alignment horizontal="right" vertical="center" shrinkToFit="1"/>
      <protection hidden="1"/>
    </xf>
    <xf numFmtId="0" fontId="7" fillId="0" borderId="48" xfId="0" applyFont="1" applyBorder="1" applyAlignment="1" applyProtection="1">
      <alignment horizontal="right" vertical="center" shrinkToFit="1"/>
      <protection hidden="1"/>
    </xf>
    <xf numFmtId="38" fontId="7" fillId="0" borderId="54" xfId="0" applyNumberFormat="1" applyFont="1" applyBorder="1" applyAlignment="1" applyProtection="1">
      <alignment horizontal="center" vertical="center" shrinkToFit="1"/>
      <protection locked="0"/>
    </xf>
    <xf numFmtId="0" fontId="4" fillId="0" borderId="28" xfId="0" applyFont="1" applyBorder="1" applyAlignment="1" applyProtection="1">
      <alignment vertical="center" shrinkToFit="1"/>
      <protection hidden="1"/>
    </xf>
    <xf numFmtId="0" fontId="4" fillId="0" borderId="48" xfId="0" applyFont="1" applyBorder="1" applyAlignment="1" applyProtection="1">
      <alignment vertical="center" shrinkToFit="1"/>
      <protection hidden="1"/>
    </xf>
    <xf numFmtId="0" fontId="4" fillId="0" borderId="58" xfId="0" applyFont="1" applyBorder="1" applyAlignment="1" applyProtection="1">
      <alignment vertical="center" shrinkToFit="1"/>
      <protection hidden="1"/>
    </xf>
    <xf numFmtId="0" fontId="4" fillId="0" borderId="68" xfId="0" applyFont="1" applyBorder="1" applyAlignment="1" applyProtection="1">
      <alignment vertical="center" shrinkToFit="1"/>
      <protection hidden="1"/>
    </xf>
    <xf numFmtId="0" fontId="7" fillId="0" borderId="0" xfId="0" applyFont="1" applyAlignment="1" applyProtection="1">
      <alignment vertical="center" shrinkToFit="1"/>
      <protection hidden="1"/>
    </xf>
    <xf numFmtId="38" fontId="3" fillId="0" borderId="96" xfId="0" applyNumberFormat="1" applyFont="1" applyBorder="1" applyAlignment="1" applyProtection="1">
      <alignment horizontal="right" vertical="center" shrinkToFit="1"/>
      <protection hidden="1"/>
    </xf>
    <xf numFmtId="0" fontId="3" fillId="0" borderId="13" xfId="0" applyFont="1" applyBorder="1" applyAlignment="1" applyProtection="1">
      <alignment horizontal="right" vertical="center" shrinkToFit="1"/>
      <protection hidden="1"/>
    </xf>
    <xf numFmtId="0" fontId="7" fillId="0" borderId="0" xfId="0" applyFont="1" applyAlignment="1" applyProtection="1">
      <alignment horizontal="center" vertical="center"/>
      <protection hidden="1"/>
    </xf>
    <xf numFmtId="12" fontId="33" fillId="0" borderId="17" xfId="0" applyNumberFormat="1" applyFont="1" applyBorder="1" applyAlignment="1" applyProtection="1">
      <alignment horizontal="center" vertical="center" shrinkToFit="1"/>
      <protection hidden="1"/>
    </xf>
    <xf numFmtId="12" fontId="33" fillId="0" borderId="3" xfId="0" applyNumberFormat="1" applyFont="1" applyBorder="1" applyAlignment="1" applyProtection="1">
      <alignment horizontal="center" vertical="center" shrinkToFit="1"/>
      <protection hidden="1"/>
    </xf>
    <xf numFmtId="0" fontId="4" fillId="0" borderId="36" xfId="0" applyFont="1" applyBorder="1" applyAlignment="1" applyProtection="1">
      <alignment horizontal="distributed" vertical="center" shrinkToFit="1"/>
      <protection hidden="1"/>
    </xf>
    <xf numFmtId="0" fontId="4" fillId="0" borderId="25" xfId="0" applyFont="1" applyBorder="1" applyAlignment="1" applyProtection="1">
      <alignment horizontal="distributed" vertical="center" shrinkToFit="1"/>
      <protection hidden="1"/>
    </xf>
    <xf numFmtId="0" fontId="4" fillId="0" borderId="75" xfId="0" applyFont="1" applyBorder="1" applyAlignment="1" applyProtection="1">
      <alignment horizontal="distributed" vertical="center" shrinkToFit="1"/>
      <protection hidden="1"/>
    </xf>
    <xf numFmtId="0" fontId="4" fillId="0" borderId="27" xfId="0" applyFont="1" applyBorder="1" applyAlignment="1" applyProtection="1">
      <alignment horizontal="distributed" vertical="center" shrinkToFit="1"/>
      <protection hidden="1"/>
    </xf>
    <xf numFmtId="0" fontId="14" fillId="0" borderId="16" xfId="0" applyFont="1" applyBorder="1" applyAlignment="1" applyProtection="1">
      <alignment vertical="center"/>
      <protection hidden="1"/>
    </xf>
    <xf numFmtId="0" fontId="14" fillId="0" borderId="0" xfId="0" applyFont="1" applyAlignment="1" applyProtection="1">
      <alignment vertical="center"/>
      <protection hidden="1"/>
    </xf>
    <xf numFmtId="0" fontId="7" fillId="0" borderId="36" xfId="0" applyFont="1" applyBorder="1" applyAlignment="1" applyProtection="1">
      <alignment vertical="center" shrinkToFit="1"/>
      <protection hidden="1"/>
    </xf>
    <xf numFmtId="0" fontId="7" fillId="0" borderId="75" xfId="0" applyFont="1" applyBorder="1" applyAlignment="1" applyProtection="1">
      <alignment vertical="center" shrinkToFit="1"/>
      <protection hidden="1"/>
    </xf>
    <xf numFmtId="0" fontId="7" fillId="0" borderId="25" xfId="0" applyFont="1" applyBorder="1" applyAlignment="1" applyProtection="1">
      <alignment vertical="center" shrinkToFit="1"/>
      <protection hidden="1"/>
    </xf>
    <xf numFmtId="0" fontId="7" fillId="0" borderId="54" xfId="0" applyFont="1" applyBorder="1" applyAlignment="1" applyProtection="1">
      <alignment horizontal="center" vertical="center"/>
      <protection locked="0"/>
    </xf>
    <xf numFmtId="0" fontId="7" fillId="0" borderId="84" xfId="0" applyFont="1" applyBorder="1" applyAlignment="1" applyProtection="1">
      <alignment horizontal="center" vertical="center"/>
      <protection locked="0"/>
    </xf>
    <xf numFmtId="0" fontId="7" fillId="0" borderId="44" xfId="0" applyFont="1" applyBorder="1" applyAlignment="1" applyProtection="1">
      <alignment horizontal="center" vertical="center"/>
      <protection locked="0"/>
    </xf>
    <xf numFmtId="0" fontId="7" fillId="0" borderId="91" xfId="0" applyFont="1" applyBorder="1" applyAlignment="1" applyProtection="1">
      <alignment horizontal="center" vertical="center"/>
      <protection locked="0"/>
    </xf>
    <xf numFmtId="0" fontId="7" fillId="0" borderId="95" xfId="0" applyFont="1" applyBorder="1" applyAlignment="1" applyProtection="1">
      <alignment horizontal="center" vertical="center"/>
      <protection locked="0"/>
    </xf>
    <xf numFmtId="0" fontId="7" fillId="0" borderId="92" xfId="0" applyFont="1" applyBorder="1" applyAlignment="1" applyProtection="1">
      <alignment horizontal="center" vertical="center"/>
      <protection locked="0"/>
    </xf>
    <xf numFmtId="0" fontId="7" fillId="0" borderId="54" xfId="0" applyFont="1" applyBorder="1" applyAlignment="1" applyProtection="1">
      <alignment horizontal="left" vertical="center"/>
      <protection locked="0"/>
    </xf>
    <xf numFmtId="0" fontId="7" fillId="0" borderId="44" xfId="0" applyFont="1" applyBorder="1" applyAlignment="1" applyProtection="1">
      <alignment horizontal="left" vertical="center"/>
      <protection locked="0"/>
    </xf>
    <xf numFmtId="0" fontId="7" fillId="0" borderId="93" xfId="0" applyFont="1" applyBorder="1" applyAlignment="1" applyProtection="1">
      <alignment horizontal="center" vertical="center"/>
      <protection locked="0"/>
    </xf>
    <xf numFmtId="0" fontId="7" fillId="0" borderId="94" xfId="0" applyFont="1" applyBorder="1" applyAlignment="1" applyProtection="1">
      <alignment horizontal="center" vertical="center"/>
      <protection locked="0"/>
    </xf>
    <xf numFmtId="0" fontId="7" fillId="0" borderId="55" xfId="0" applyFont="1" applyBorder="1" applyAlignment="1" applyProtection="1">
      <alignment horizontal="center" vertical="center"/>
      <protection locked="0"/>
    </xf>
    <xf numFmtId="0" fontId="7" fillId="0" borderId="45" xfId="0" applyFont="1" applyBorder="1" applyAlignment="1" applyProtection="1">
      <alignment horizontal="center" vertical="center"/>
      <protection locked="0"/>
    </xf>
    <xf numFmtId="0" fontId="7" fillId="0" borderId="49" xfId="0" applyFont="1" applyBorder="1" applyAlignment="1" applyProtection="1">
      <alignment horizontal="center" vertical="center"/>
      <protection locked="0"/>
    </xf>
    <xf numFmtId="0" fontId="7" fillId="0" borderId="51" xfId="0" applyFont="1" applyBorder="1" applyAlignment="1" applyProtection="1">
      <alignment horizontal="center" vertical="center"/>
      <protection locked="0"/>
    </xf>
    <xf numFmtId="0" fontId="7" fillId="0" borderId="0" xfId="0" applyFont="1" applyAlignment="1" applyProtection="1">
      <alignment vertical="center" shrinkToFit="1"/>
      <protection locked="0"/>
    </xf>
    <xf numFmtId="0" fontId="7" fillId="0" borderId="91" xfId="0" applyFont="1" applyBorder="1" applyAlignment="1" applyProtection="1">
      <alignment horizontal="center" vertical="center"/>
      <protection hidden="1"/>
    </xf>
    <xf numFmtId="0" fontId="7" fillId="0" borderId="95" xfId="0" applyFont="1" applyBorder="1" applyAlignment="1" applyProtection="1">
      <alignment horizontal="center" vertical="center"/>
      <protection hidden="1"/>
    </xf>
    <xf numFmtId="0" fontId="7" fillId="0" borderId="92" xfId="0" applyFont="1" applyBorder="1" applyAlignment="1" applyProtection="1">
      <alignment horizontal="center" vertical="center"/>
      <protection hidden="1"/>
    </xf>
    <xf numFmtId="38" fontId="7" fillId="0" borderId="54" xfId="0" applyNumberFormat="1" applyFont="1" applyBorder="1" applyAlignment="1" applyProtection="1">
      <alignment horizontal="right" vertical="center" shrinkToFit="1"/>
      <protection hidden="1"/>
    </xf>
    <xf numFmtId="0" fontId="7" fillId="0" borderId="44" xfId="0" applyFont="1" applyBorder="1" applyAlignment="1" applyProtection="1">
      <alignment horizontal="right" vertical="center" shrinkToFit="1"/>
      <protection hidden="1"/>
    </xf>
    <xf numFmtId="0" fontId="7" fillId="0" borderId="49" xfId="0" applyFont="1" applyBorder="1" applyAlignment="1" applyProtection="1">
      <alignment vertical="center"/>
      <protection locked="0"/>
    </xf>
    <xf numFmtId="0" fontId="7" fillId="0" borderId="51" xfId="0" applyFont="1" applyBorder="1" applyAlignment="1" applyProtection="1">
      <alignment vertical="center"/>
      <protection locked="0"/>
    </xf>
    <xf numFmtId="0" fontId="7" fillId="0" borderId="64" xfId="0" applyFont="1" applyBorder="1" applyAlignment="1" applyProtection="1">
      <alignment vertical="center"/>
      <protection locked="0"/>
    </xf>
    <xf numFmtId="0" fontId="7" fillId="0" borderId="65" xfId="0" applyFont="1" applyBorder="1" applyAlignment="1" applyProtection="1">
      <alignment vertical="center"/>
      <protection locked="0"/>
    </xf>
    <xf numFmtId="0" fontId="7" fillId="0" borderId="74" xfId="0" applyFont="1" applyBorder="1" applyAlignment="1" applyProtection="1">
      <alignment vertical="center"/>
      <protection locked="0"/>
    </xf>
    <xf numFmtId="0" fontId="7" fillId="0" borderId="72" xfId="0" applyFont="1" applyBorder="1" applyAlignment="1" applyProtection="1">
      <alignment vertical="center"/>
      <protection locked="0"/>
    </xf>
    <xf numFmtId="0" fontId="7" fillId="0" borderId="47" xfId="0" applyFont="1" applyBorder="1" applyAlignment="1" applyProtection="1">
      <alignment vertical="center" shrinkToFit="1"/>
      <protection hidden="1"/>
    </xf>
    <xf numFmtId="0" fontId="7" fillId="0" borderId="48" xfId="0" applyFont="1" applyBorder="1" applyAlignment="1" applyProtection="1">
      <alignment vertical="center" shrinkToFit="1"/>
      <protection hidden="1"/>
    </xf>
    <xf numFmtId="38" fontId="7" fillId="0" borderId="36" xfId="3" applyFont="1" applyBorder="1" applyAlignment="1" applyProtection="1">
      <alignment horizontal="center" vertical="center" shrinkToFit="1"/>
      <protection hidden="1"/>
    </xf>
    <xf numFmtId="38" fontId="7" fillId="0" borderId="25" xfId="3" applyFont="1" applyBorder="1" applyAlignment="1" applyProtection="1">
      <alignment horizontal="center" vertical="center" shrinkToFit="1"/>
      <protection hidden="1"/>
    </xf>
    <xf numFmtId="0" fontId="7" fillId="0" borderId="57" xfId="0" applyFont="1" applyBorder="1" applyAlignment="1" applyProtection="1">
      <alignment horizontal="center" vertical="center" shrinkToFit="1"/>
      <protection locked="0"/>
    </xf>
    <xf numFmtId="0" fontId="7" fillId="0" borderId="46" xfId="0" applyFont="1" applyBorder="1" applyAlignment="1" applyProtection="1">
      <alignment horizontal="center" vertical="center" shrinkToFit="1"/>
      <protection locked="0"/>
    </xf>
    <xf numFmtId="0" fontId="0" fillId="0" borderId="44" xfId="0" applyBorder="1" applyProtection="1">
      <alignment vertical="center"/>
      <protection hidden="1"/>
    </xf>
    <xf numFmtId="0" fontId="33" fillId="0" borderId="0" xfId="0" applyFont="1" applyBorder="1" applyAlignment="1" applyProtection="1">
      <alignment horizontal="left" vertical="center" shrinkToFit="1"/>
      <protection hidden="1"/>
    </xf>
    <xf numFmtId="0" fontId="7" fillId="0" borderId="75" xfId="0" applyFont="1" applyBorder="1" applyAlignment="1" applyProtection="1">
      <alignment vertical="center"/>
      <protection locked="0"/>
    </xf>
    <xf numFmtId="0" fontId="7" fillId="0" borderId="25" xfId="0" applyFont="1" applyBorder="1" applyAlignment="1" applyProtection="1">
      <alignment vertical="center"/>
      <protection locked="0"/>
    </xf>
    <xf numFmtId="0" fontId="38" fillId="0" borderId="0" xfId="0" applyFont="1" applyAlignment="1" applyProtection="1">
      <alignment vertical="top" shrinkToFit="1"/>
      <protection hidden="1"/>
    </xf>
    <xf numFmtId="0" fontId="7" fillId="0" borderId="0" xfId="0" applyFont="1" applyBorder="1" applyAlignment="1" applyProtection="1">
      <alignment horizontal="center" vertical="center"/>
      <protection hidden="1"/>
    </xf>
    <xf numFmtId="0" fontId="7" fillId="0" borderId="0" xfId="0" applyFont="1" applyBorder="1" applyAlignment="1" applyProtection="1">
      <alignment vertical="center" shrinkToFit="1"/>
      <protection hidden="1"/>
    </xf>
    <xf numFmtId="0" fontId="7" fillId="0" borderId="29" xfId="0" applyFont="1" applyBorder="1" applyAlignment="1" applyProtection="1">
      <alignment vertical="center" shrinkToFit="1"/>
      <protection hidden="1"/>
    </xf>
    <xf numFmtId="0" fontId="7" fillId="0" borderId="58" xfId="0" applyFont="1" applyBorder="1" applyAlignment="1" applyProtection="1">
      <alignment vertical="center" shrinkToFit="1"/>
      <protection hidden="1"/>
    </xf>
    <xf numFmtId="0" fontId="7" fillId="0" borderId="18" xfId="0" applyFont="1" applyBorder="1" applyAlignment="1" applyProtection="1">
      <alignment horizontal="center" vertical="center"/>
      <protection hidden="1"/>
    </xf>
    <xf numFmtId="0" fontId="0" fillId="0" borderId="80" xfId="0" applyBorder="1" applyProtection="1">
      <alignment vertical="center"/>
      <protection hidden="1"/>
    </xf>
    <xf numFmtId="38" fontId="32" fillId="0" borderId="97" xfId="3" applyFont="1" applyBorder="1" applyAlignment="1" applyProtection="1">
      <alignment horizontal="right" vertical="center" shrinkToFit="1"/>
      <protection hidden="1"/>
    </xf>
    <xf numFmtId="38" fontId="32" fillId="0" borderId="85" xfId="3" applyFont="1" applyBorder="1" applyAlignment="1" applyProtection="1">
      <alignment horizontal="right" vertical="center" shrinkToFit="1"/>
      <protection hidden="1"/>
    </xf>
    <xf numFmtId="0" fontId="7" fillId="0" borderId="63" xfId="0" applyFont="1" applyBorder="1" applyAlignment="1" applyProtection="1">
      <alignment vertical="center" shrinkToFit="1"/>
      <protection hidden="1"/>
    </xf>
    <xf numFmtId="0" fontId="7" fillId="0" borderId="98" xfId="0" applyFont="1" applyBorder="1" applyAlignment="1" applyProtection="1">
      <alignment horizontal="distributed" vertical="center" shrinkToFit="1"/>
      <protection hidden="1"/>
    </xf>
    <xf numFmtId="0" fontId="7" fillId="0" borderId="42" xfId="0" applyFont="1" applyBorder="1" applyAlignment="1" applyProtection="1">
      <alignment horizontal="distributed" vertical="center" shrinkToFit="1"/>
      <protection hidden="1"/>
    </xf>
    <xf numFmtId="0" fontId="7" fillId="0" borderId="96" xfId="0" applyFont="1" applyBorder="1" applyAlignment="1" applyProtection="1">
      <alignment horizontal="distributed" vertical="center" shrinkToFit="1"/>
      <protection hidden="1"/>
    </xf>
    <xf numFmtId="0" fontId="7" fillId="0" borderId="36" xfId="0" applyFont="1" applyBorder="1" applyAlignment="1" applyProtection="1">
      <alignment horizontal="distributed" vertical="center" shrinkToFit="1"/>
      <protection hidden="1"/>
    </xf>
    <xf numFmtId="0" fontId="7" fillId="0" borderId="75" xfId="0" applyFont="1" applyBorder="1" applyAlignment="1" applyProtection="1">
      <alignment horizontal="distributed" vertical="center" shrinkToFit="1"/>
      <protection hidden="1"/>
    </xf>
    <xf numFmtId="0" fontId="7" fillId="0" borderId="25" xfId="0" applyFont="1" applyBorder="1" applyAlignment="1" applyProtection="1">
      <alignment horizontal="distributed" vertical="center" shrinkToFit="1"/>
      <protection hidden="1"/>
    </xf>
    <xf numFmtId="0" fontId="7" fillId="0" borderId="49" xfId="0" applyFont="1" applyBorder="1" applyAlignment="1" applyProtection="1">
      <alignment vertical="center" shrinkToFit="1"/>
      <protection hidden="1"/>
    </xf>
    <xf numFmtId="0" fontId="7" fillId="0" borderId="64" xfId="0" applyFont="1" applyBorder="1" applyAlignment="1" applyProtection="1">
      <alignment vertical="center" shrinkToFit="1"/>
      <protection hidden="1"/>
    </xf>
    <xf numFmtId="0" fontId="7" fillId="0" borderId="51" xfId="0" applyFont="1" applyBorder="1" applyAlignment="1" applyProtection="1">
      <alignment vertical="center" shrinkToFit="1"/>
      <protection hidden="1"/>
    </xf>
    <xf numFmtId="0" fontId="7" fillId="0" borderId="0" xfId="0" applyFont="1" applyBorder="1" applyAlignment="1" applyProtection="1">
      <alignment vertical="center" shrinkToFit="1"/>
      <protection locked="0"/>
    </xf>
    <xf numFmtId="38" fontId="33" fillId="0" borderId="17" xfId="3" applyFont="1" applyBorder="1" applyAlignment="1" applyProtection="1">
      <alignment horizontal="right" vertical="center" shrinkToFit="1"/>
      <protection hidden="1"/>
    </xf>
    <xf numFmtId="38" fontId="33" fillId="0" borderId="3" xfId="3" applyFont="1" applyBorder="1" applyAlignment="1" applyProtection="1">
      <alignment horizontal="right" vertical="center" shrinkToFit="1"/>
      <protection hidden="1"/>
    </xf>
    <xf numFmtId="0" fontId="33" fillId="0" borderId="0" xfId="0" applyFont="1" applyAlignment="1" applyProtection="1">
      <alignment horizontal="center" vertical="center"/>
      <protection hidden="1"/>
    </xf>
    <xf numFmtId="38" fontId="32" fillId="0" borderId="17" xfId="3" applyFont="1" applyBorder="1" applyAlignment="1" applyProtection="1">
      <alignment horizontal="right" vertical="center" shrinkToFit="1"/>
      <protection hidden="1"/>
    </xf>
    <xf numFmtId="38" fontId="32" fillId="0" borderId="3" xfId="3" applyFont="1" applyBorder="1" applyAlignment="1" applyProtection="1">
      <alignment horizontal="right" vertical="center" shrinkToFit="1"/>
      <protection hidden="1"/>
    </xf>
    <xf numFmtId="0" fontId="7" fillId="0" borderId="26" xfId="0" applyFont="1" applyBorder="1" applyAlignment="1" applyProtection="1">
      <alignment vertical="center" shrinkToFit="1"/>
      <protection hidden="1"/>
    </xf>
    <xf numFmtId="0" fontId="7" fillId="0" borderId="28" xfId="0" applyFont="1" applyBorder="1" applyAlignment="1" applyProtection="1">
      <alignment vertical="center" shrinkToFit="1"/>
      <protection hidden="1"/>
    </xf>
    <xf numFmtId="0" fontId="7" fillId="0" borderId="49" xfId="0" applyFont="1" applyBorder="1" applyAlignment="1" applyProtection="1">
      <alignment horizontal="distributed" vertical="center"/>
      <protection locked="0"/>
    </xf>
    <xf numFmtId="0" fontId="7" fillId="0" borderId="51" xfId="0" applyFont="1" applyBorder="1" applyAlignment="1" applyProtection="1">
      <alignment horizontal="distributed" vertical="center"/>
      <protection locked="0"/>
    </xf>
    <xf numFmtId="0" fontId="7" fillId="0" borderId="54" xfId="0" applyFont="1" applyBorder="1" applyAlignment="1" applyProtection="1">
      <alignment horizontal="distributed" vertical="center"/>
      <protection locked="0"/>
    </xf>
    <xf numFmtId="0" fontId="7" fillId="0" borderId="44" xfId="0" applyFont="1" applyBorder="1" applyAlignment="1" applyProtection="1">
      <alignment horizontal="distributed" vertical="center"/>
      <protection locked="0"/>
    </xf>
    <xf numFmtId="38" fontId="7" fillId="0" borderId="54" xfId="3" applyFont="1" applyBorder="1" applyAlignment="1" applyProtection="1">
      <alignment horizontal="distributed" vertical="center"/>
      <protection locked="0"/>
    </xf>
    <xf numFmtId="38" fontId="7" fillId="0" borderId="44" xfId="3" applyFont="1" applyBorder="1" applyAlignment="1" applyProtection="1">
      <alignment horizontal="distributed" vertical="center"/>
      <protection locked="0"/>
    </xf>
    <xf numFmtId="0" fontId="7" fillId="0" borderId="49" xfId="0" applyFont="1" applyBorder="1" applyAlignment="1" applyProtection="1">
      <alignment horizontal="distributed" vertical="center" shrinkToFit="1"/>
      <protection locked="0"/>
    </xf>
    <xf numFmtId="0" fontId="7" fillId="0" borderId="51" xfId="0" applyFont="1" applyBorder="1" applyAlignment="1" applyProtection="1">
      <alignment horizontal="distributed" vertical="center" shrinkToFit="1"/>
      <protection locked="0"/>
    </xf>
    <xf numFmtId="38" fontId="7" fillId="0" borderId="54" xfId="0" applyNumberFormat="1" applyFont="1" applyBorder="1" applyAlignment="1" applyProtection="1">
      <alignment horizontal="center" vertical="center"/>
      <protection hidden="1"/>
    </xf>
    <xf numFmtId="38" fontId="7" fillId="0" borderId="54" xfId="0" applyNumberFormat="1" applyFont="1" applyBorder="1" applyAlignment="1" applyProtection="1">
      <alignment horizontal="center" vertical="center" shrinkToFit="1"/>
      <protection hidden="1"/>
    </xf>
    <xf numFmtId="0" fontId="32" fillId="0" borderId="0" xfId="0" applyFont="1" applyAlignment="1" applyProtection="1">
      <alignment horizontal="center" vertical="center" shrinkToFit="1"/>
      <protection hidden="1"/>
    </xf>
  </cellXfs>
  <cellStyles count="4">
    <cellStyle name="パーセント" xfId="1" builtinId="5"/>
    <cellStyle name="ハイパーリンク" xfId="2" builtinId="8"/>
    <cellStyle name="桁区切り" xfId="3" builtinId="6"/>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8">
    <pageSetUpPr fitToPage="1"/>
  </sheetPr>
  <dimension ref="A1:U105"/>
  <sheetViews>
    <sheetView tabSelected="1" zoomScale="60" zoomScaleNormal="60" zoomScaleSheetLayoutView="50" workbookViewId="0">
      <selection activeCell="B1" sqref="B1"/>
    </sheetView>
  </sheetViews>
  <sheetFormatPr defaultColWidth="12.625" defaultRowHeight="19.5" customHeight="1"/>
  <cols>
    <col min="1" max="1" width="1.375" style="145" customWidth="1"/>
    <col min="2" max="2" width="22.25" style="145" customWidth="1"/>
    <col min="3" max="3" width="0.75" style="145" customWidth="1"/>
    <col min="4" max="18" width="20.375" style="145" customWidth="1"/>
    <col min="19" max="16384" width="12.625" style="145"/>
  </cols>
  <sheetData>
    <row r="1" spans="1:19" ht="21.75" customHeight="1" thickBot="1">
      <c r="B1" s="632"/>
      <c r="C1" s="632"/>
      <c r="D1" s="632"/>
      <c r="E1" s="632"/>
      <c r="F1" s="632"/>
      <c r="G1" s="632"/>
      <c r="H1" s="207" t="s">
        <v>310</v>
      </c>
      <c r="I1" s="707" t="s">
        <v>695</v>
      </c>
      <c r="J1" s="708"/>
      <c r="K1" s="632"/>
      <c r="L1" s="632"/>
      <c r="M1" s="632"/>
      <c r="N1" s="632"/>
      <c r="O1" s="632"/>
      <c r="P1" s="632"/>
      <c r="Q1" s="632"/>
      <c r="R1" s="632"/>
    </row>
    <row r="2" spans="1:19" ht="21.75" customHeight="1">
      <c r="A2" s="143"/>
      <c r="B2" s="896" t="s">
        <v>696</v>
      </c>
      <c r="C2" s="896"/>
      <c r="D2" s="896"/>
      <c r="E2" s="896"/>
      <c r="F2" s="896"/>
      <c r="G2" s="140" t="s">
        <v>5</v>
      </c>
      <c r="H2" s="207" t="s">
        <v>442</v>
      </c>
      <c r="I2" s="707"/>
      <c r="J2" s="708"/>
      <c r="K2" s="632"/>
      <c r="L2" s="243" t="s">
        <v>323</v>
      </c>
      <c r="M2" s="243" t="s">
        <v>385</v>
      </c>
      <c r="N2" s="244" t="s">
        <v>324</v>
      </c>
      <c r="O2" s="245" t="s">
        <v>325</v>
      </c>
      <c r="P2" s="243" t="s">
        <v>388</v>
      </c>
      <c r="Q2" s="632"/>
      <c r="R2" s="632"/>
    </row>
    <row r="3" spans="1:19" ht="21.75" customHeight="1" thickBot="1">
      <c r="B3" s="896"/>
      <c r="C3" s="896"/>
      <c r="D3" s="896"/>
      <c r="E3" s="896"/>
      <c r="F3" s="896"/>
      <c r="G3" s="633" t="s">
        <v>58</v>
      </c>
      <c r="H3" s="208" t="s">
        <v>311</v>
      </c>
      <c r="I3" s="709" t="s">
        <v>676</v>
      </c>
      <c r="J3" s="710"/>
      <c r="K3" s="632"/>
      <c r="L3" s="246" t="s">
        <v>238</v>
      </c>
      <c r="M3" s="263" t="s">
        <v>387</v>
      </c>
      <c r="N3" s="263" t="s">
        <v>678</v>
      </c>
      <c r="O3" s="247"/>
      <c r="P3" s="263"/>
      <c r="Q3" s="632"/>
      <c r="R3" s="632"/>
    </row>
    <row r="4" spans="1:19" ht="21.75" customHeight="1" thickBot="1">
      <c r="B4" s="634"/>
      <c r="C4" s="634"/>
      <c r="D4" s="634"/>
      <c r="E4" s="634"/>
      <c r="F4" s="634"/>
      <c r="G4" s="633"/>
      <c r="H4" s="209" t="s">
        <v>312</v>
      </c>
      <c r="I4" s="711" t="s">
        <v>677</v>
      </c>
      <c r="J4" s="712"/>
      <c r="K4" s="632"/>
      <c r="L4" s="632"/>
      <c r="M4" s="140" t="s">
        <v>386</v>
      </c>
      <c r="N4" s="140"/>
      <c r="O4" s="140"/>
      <c r="P4" s="140"/>
      <c r="Q4" s="140"/>
      <c r="R4" s="632"/>
    </row>
    <row r="5" spans="1:19" ht="26.25" thickBot="1">
      <c r="B5" s="635" t="s">
        <v>137</v>
      </c>
      <c r="C5" s="636"/>
      <c r="D5" s="636"/>
      <c r="E5" s="636"/>
      <c r="F5" s="636"/>
      <c r="G5" s="633"/>
      <c r="H5" s="637"/>
      <c r="I5" s="637"/>
      <c r="J5" s="637"/>
      <c r="K5" s="637"/>
      <c r="L5" s="632"/>
      <c r="M5" s="140"/>
      <c r="N5" s="140"/>
      <c r="O5" s="140"/>
      <c r="P5" s="140"/>
      <c r="Q5" s="140"/>
      <c r="R5" s="140"/>
    </row>
    <row r="6" spans="1:19" s="148" customFormat="1" ht="19.5" customHeight="1" thickBot="1">
      <c r="A6" s="145"/>
      <c r="B6" s="724" t="s">
        <v>490</v>
      </c>
      <c r="C6" s="638"/>
      <c r="D6" s="99" t="s">
        <v>138</v>
      </c>
      <c r="E6" s="100" t="s">
        <v>90</v>
      </c>
      <c r="F6" s="100" t="s">
        <v>22</v>
      </c>
      <c r="G6" s="100" t="s">
        <v>66</v>
      </c>
      <c r="H6" s="100" t="s">
        <v>52</v>
      </c>
      <c r="I6" s="101" t="s">
        <v>353</v>
      </c>
      <c r="J6" s="101" t="s">
        <v>353</v>
      </c>
      <c r="K6" s="101" t="s">
        <v>353</v>
      </c>
      <c r="L6" s="101" t="s">
        <v>354</v>
      </c>
      <c r="M6" s="101" t="s">
        <v>355</v>
      </c>
      <c r="N6" s="101" t="s">
        <v>356</v>
      </c>
      <c r="O6" s="101" t="s">
        <v>356</v>
      </c>
      <c r="P6" s="101" t="s">
        <v>356</v>
      </c>
      <c r="Q6" s="266" t="s">
        <v>356</v>
      </c>
      <c r="R6" s="724" t="s">
        <v>326</v>
      </c>
      <c r="S6" s="147"/>
    </row>
    <row r="7" spans="1:19" s="148" customFormat="1" ht="40.5" customHeight="1" thickBot="1">
      <c r="B7" s="725"/>
      <c r="C7" s="638"/>
      <c r="D7" s="639" t="s">
        <v>679</v>
      </c>
      <c r="E7" s="640" t="s">
        <v>680</v>
      </c>
      <c r="F7" s="641" t="s">
        <v>681</v>
      </c>
      <c r="G7" s="642" t="s">
        <v>682</v>
      </c>
      <c r="H7" s="642" t="s">
        <v>683</v>
      </c>
      <c r="I7" s="642" t="s">
        <v>684</v>
      </c>
      <c r="J7" s="642"/>
      <c r="K7" s="642"/>
      <c r="L7" s="642"/>
      <c r="M7" s="642"/>
      <c r="N7" s="642"/>
      <c r="O7" s="642"/>
      <c r="P7" s="643"/>
      <c r="Q7" s="644"/>
      <c r="R7" s="725"/>
      <c r="S7" s="147"/>
    </row>
    <row r="8" spans="1:19" s="148" customFormat="1" ht="19.5" customHeight="1">
      <c r="B8" s="268" t="s">
        <v>555</v>
      </c>
      <c r="C8" s="638"/>
      <c r="D8" s="645"/>
      <c r="E8" s="646"/>
      <c r="F8" s="647"/>
      <c r="G8" s="648"/>
      <c r="H8" s="648"/>
      <c r="I8" s="648"/>
      <c r="J8" s="648"/>
      <c r="K8" s="648"/>
      <c r="L8" s="648"/>
      <c r="M8" s="648"/>
      <c r="N8" s="646"/>
      <c r="O8" s="646"/>
      <c r="P8" s="647"/>
      <c r="Q8" s="649"/>
      <c r="R8" s="265">
        <f t="shared" ref="R8:R16" si="0">SUM(D8:Q8)</f>
        <v>0</v>
      </c>
      <c r="S8" s="147"/>
    </row>
    <row r="9" spans="1:19" s="148" customFormat="1" ht="19.5" customHeight="1">
      <c r="B9" s="267" t="s">
        <v>556</v>
      </c>
      <c r="C9" s="638"/>
      <c r="D9" s="650"/>
      <c r="E9" s="651"/>
      <c r="F9" s="652"/>
      <c r="G9" s="653"/>
      <c r="H9" s="653"/>
      <c r="I9" s="653"/>
      <c r="J9" s="653"/>
      <c r="K9" s="653"/>
      <c r="L9" s="653"/>
      <c r="M9" s="653"/>
      <c r="N9" s="651"/>
      <c r="O9" s="651"/>
      <c r="P9" s="652"/>
      <c r="Q9" s="654"/>
      <c r="R9" s="265">
        <f t="shared" si="0"/>
        <v>0</v>
      </c>
      <c r="S9" s="147"/>
    </row>
    <row r="10" spans="1:19" s="148" customFormat="1" ht="19.5" customHeight="1">
      <c r="B10" s="731" t="s">
        <v>557</v>
      </c>
      <c r="C10" s="638"/>
      <c r="D10" s="645"/>
      <c r="E10" s="646"/>
      <c r="F10" s="647"/>
      <c r="G10" s="648"/>
      <c r="H10" s="648"/>
      <c r="I10" s="648"/>
      <c r="J10" s="648"/>
      <c r="K10" s="648"/>
      <c r="L10" s="648"/>
      <c r="M10" s="648"/>
      <c r="N10" s="646"/>
      <c r="O10" s="655"/>
      <c r="P10" s="656"/>
      <c r="Q10" s="649"/>
      <c r="R10" s="265"/>
      <c r="S10" s="147"/>
    </row>
    <row r="11" spans="1:19" s="148" customFormat="1" ht="19.5" customHeight="1">
      <c r="B11" s="732"/>
      <c r="C11" s="638"/>
      <c r="D11" s="645"/>
      <c r="E11" s="646"/>
      <c r="F11" s="647"/>
      <c r="G11" s="648"/>
      <c r="H11" s="648"/>
      <c r="I11" s="648"/>
      <c r="J11" s="648"/>
      <c r="K11" s="648"/>
      <c r="L11" s="648"/>
      <c r="M11" s="648"/>
      <c r="N11" s="646"/>
      <c r="O11" s="655"/>
      <c r="P11" s="656"/>
      <c r="Q11" s="649"/>
      <c r="R11" s="265"/>
      <c r="S11" s="147"/>
    </row>
    <row r="12" spans="1:19" ht="19.5" customHeight="1">
      <c r="A12" s="148"/>
      <c r="B12" s="716" t="s">
        <v>105</v>
      </c>
      <c r="C12" s="638"/>
      <c r="D12" s="657">
        <v>80893841</v>
      </c>
      <c r="E12" s="658"/>
      <c r="F12" s="658"/>
      <c r="G12" s="658"/>
      <c r="H12" s="658"/>
      <c r="I12" s="658"/>
      <c r="J12" s="658"/>
      <c r="K12" s="658"/>
      <c r="L12" s="658"/>
      <c r="M12" s="658"/>
      <c r="N12" s="658"/>
      <c r="O12" s="659"/>
      <c r="P12" s="659"/>
      <c r="Q12" s="660"/>
      <c r="R12" s="265">
        <f t="shared" si="0"/>
        <v>80893841</v>
      </c>
      <c r="S12" s="149"/>
    </row>
    <row r="13" spans="1:19" ht="19.5" customHeight="1">
      <c r="B13" s="717"/>
      <c r="C13" s="638"/>
      <c r="D13" s="661">
        <v>-48960008</v>
      </c>
      <c r="E13" s="662"/>
      <c r="F13" s="662"/>
      <c r="G13" s="662"/>
      <c r="H13" s="662"/>
      <c r="I13" s="662"/>
      <c r="J13" s="662"/>
      <c r="K13" s="662"/>
      <c r="L13" s="662"/>
      <c r="M13" s="662"/>
      <c r="N13" s="662"/>
      <c r="O13" s="663"/>
      <c r="P13" s="663"/>
      <c r="Q13" s="664"/>
      <c r="R13" s="265">
        <f t="shared" si="0"/>
        <v>-48960008</v>
      </c>
      <c r="S13" s="149"/>
    </row>
    <row r="14" spans="1:19" ht="19.5" customHeight="1">
      <c r="B14" s="721" t="s">
        <v>613</v>
      </c>
      <c r="C14" s="638"/>
      <c r="D14" s="661"/>
      <c r="E14" s="662"/>
      <c r="F14" s="665"/>
      <c r="G14" s="662"/>
      <c r="H14" s="662"/>
      <c r="I14" s="662"/>
      <c r="J14" s="662"/>
      <c r="K14" s="662"/>
      <c r="L14" s="662"/>
      <c r="M14" s="662"/>
      <c r="N14" s="662"/>
      <c r="O14" s="663"/>
      <c r="P14" s="663"/>
      <c r="Q14" s="664"/>
      <c r="R14" s="265">
        <f t="shared" si="0"/>
        <v>0</v>
      </c>
      <c r="S14" s="149"/>
    </row>
    <row r="15" spans="1:19" ht="19.5" customHeight="1">
      <c r="B15" s="722"/>
      <c r="C15" s="638"/>
      <c r="D15" s="661"/>
      <c r="E15" s="662"/>
      <c r="F15" s="665"/>
      <c r="G15" s="662"/>
      <c r="H15" s="662"/>
      <c r="I15" s="662"/>
      <c r="J15" s="662"/>
      <c r="K15" s="662"/>
      <c r="L15" s="662"/>
      <c r="M15" s="662"/>
      <c r="N15" s="662"/>
      <c r="O15" s="663"/>
      <c r="P15" s="663"/>
      <c r="Q15" s="664"/>
      <c r="R15" s="265">
        <f t="shared" si="0"/>
        <v>0</v>
      </c>
      <c r="S15" s="149"/>
    </row>
    <row r="16" spans="1:19" ht="19.5" customHeight="1">
      <c r="B16" s="728" t="s">
        <v>106</v>
      </c>
      <c r="C16" s="666"/>
      <c r="D16" s="667">
        <v>452789274</v>
      </c>
      <c r="E16" s="668"/>
      <c r="F16" s="669">
        <v>352499081</v>
      </c>
      <c r="G16" s="669">
        <v>258260174</v>
      </c>
      <c r="H16" s="668">
        <v>43995419</v>
      </c>
      <c r="I16" s="668">
        <v>157654985</v>
      </c>
      <c r="J16" s="668"/>
      <c r="K16" s="668"/>
      <c r="L16" s="668"/>
      <c r="M16" s="668"/>
      <c r="N16" s="668"/>
      <c r="O16" s="668"/>
      <c r="P16" s="670"/>
      <c r="Q16" s="671"/>
      <c r="R16" s="265">
        <f t="shared" si="0"/>
        <v>1265198933</v>
      </c>
      <c r="S16" s="149"/>
    </row>
    <row r="17" spans="2:20" ht="19.5" customHeight="1">
      <c r="B17" s="729"/>
      <c r="C17" s="666"/>
      <c r="D17" s="672"/>
      <c r="E17" s="668"/>
      <c r="F17" s="668"/>
      <c r="G17" s="668"/>
      <c r="H17" s="668"/>
      <c r="I17" s="668"/>
      <c r="J17" s="668"/>
      <c r="K17" s="668"/>
      <c r="L17" s="673"/>
      <c r="M17" s="668"/>
      <c r="N17" s="673"/>
      <c r="O17" s="668"/>
      <c r="P17" s="674"/>
      <c r="Q17" s="675"/>
      <c r="R17" s="265">
        <f t="shared" ref="R17:R39" si="1">SUM(D17:Q17)</f>
        <v>0</v>
      </c>
      <c r="S17" s="149"/>
    </row>
    <row r="18" spans="2:20" ht="19.5" customHeight="1">
      <c r="B18" s="726" t="s">
        <v>0</v>
      </c>
      <c r="C18" s="666"/>
      <c r="D18" s="672">
        <v>9347961</v>
      </c>
      <c r="E18" s="668"/>
      <c r="F18" s="668">
        <v>4694676</v>
      </c>
      <c r="G18" s="668"/>
      <c r="H18" s="668"/>
      <c r="I18" s="668"/>
      <c r="J18" s="668"/>
      <c r="K18" s="668"/>
      <c r="L18" s="673"/>
      <c r="M18" s="668"/>
      <c r="N18" s="673"/>
      <c r="O18" s="668"/>
      <c r="P18" s="674"/>
      <c r="Q18" s="675"/>
      <c r="R18" s="265">
        <f t="shared" si="1"/>
        <v>14042637</v>
      </c>
      <c r="S18" s="149"/>
    </row>
    <row r="19" spans="2:20" ht="19.5" customHeight="1">
      <c r="B19" s="727"/>
      <c r="C19" s="666"/>
      <c r="D19" s="672"/>
      <c r="E19" s="668"/>
      <c r="F19" s="668"/>
      <c r="G19" s="668"/>
      <c r="H19" s="668"/>
      <c r="I19" s="668"/>
      <c r="J19" s="668"/>
      <c r="K19" s="668"/>
      <c r="L19" s="673"/>
      <c r="M19" s="668"/>
      <c r="N19" s="673"/>
      <c r="O19" s="668"/>
      <c r="P19" s="674"/>
      <c r="Q19" s="675"/>
      <c r="R19" s="265">
        <f t="shared" si="1"/>
        <v>0</v>
      </c>
      <c r="S19" s="150"/>
    </row>
    <row r="20" spans="2:20" ht="19.5" customHeight="1">
      <c r="B20" s="730" t="s">
        <v>89</v>
      </c>
      <c r="C20" s="666"/>
      <c r="D20" s="672"/>
      <c r="E20" s="668"/>
      <c r="F20" s="668"/>
      <c r="G20" s="668"/>
      <c r="H20" s="668"/>
      <c r="I20" s="668"/>
      <c r="J20" s="668"/>
      <c r="K20" s="668"/>
      <c r="L20" s="668"/>
      <c r="M20" s="668"/>
      <c r="N20" s="668"/>
      <c r="O20" s="668"/>
      <c r="P20" s="674"/>
      <c r="Q20" s="675"/>
      <c r="R20" s="265">
        <f t="shared" si="1"/>
        <v>0</v>
      </c>
      <c r="S20" s="149"/>
    </row>
    <row r="21" spans="2:20" ht="19.5" customHeight="1">
      <c r="B21" s="729"/>
      <c r="C21" s="666"/>
      <c r="D21" s="672"/>
      <c r="E21" s="668"/>
      <c r="F21" s="668"/>
      <c r="G21" s="668"/>
      <c r="H21" s="668"/>
      <c r="I21" s="668"/>
      <c r="J21" s="668"/>
      <c r="K21" s="668"/>
      <c r="L21" s="668"/>
      <c r="M21" s="668"/>
      <c r="N21" s="668"/>
      <c r="O21" s="668"/>
      <c r="P21" s="674"/>
      <c r="Q21" s="675"/>
      <c r="R21" s="265">
        <f t="shared" si="1"/>
        <v>0</v>
      </c>
      <c r="S21" s="149"/>
      <c r="T21" s="149"/>
    </row>
    <row r="22" spans="2:20" ht="19.5" customHeight="1">
      <c r="B22" s="726" t="s">
        <v>1</v>
      </c>
      <c r="C22" s="666"/>
      <c r="D22" s="672">
        <v>10443177</v>
      </c>
      <c r="E22" s="668"/>
      <c r="F22" s="668"/>
      <c r="G22" s="668"/>
      <c r="H22" s="668"/>
      <c r="I22" s="668"/>
      <c r="J22" s="668"/>
      <c r="K22" s="668"/>
      <c r="L22" s="668"/>
      <c r="M22" s="668"/>
      <c r="N22" s="668"/>
      <c r="O22" s="668"/>
      <c r="P22" s="674"/>
      <c r="Q22" s="675"/>
      <c r="R22" s="265">
        <f t="shared" si="1"/>
        <v>10443177</v>
      </c>
      <c r="S22" s="149"/>
      <c r="T22" s="149"/>
    </row>
    <row r="23" spans="2:20" ht="19.5" customHeight="1">
      <c r="B23" s="727"/>
      <c r="C23" s="666"/>
      <c r="D23" s="672"/>
      <c r="E23" s="668"/>
      <c r="F23" s="668"/>
      <c r="G23" s="668"/>
      <c r="H23" s="668"/>
      <c r="I23" s="668"/>
      <c r="J23" s="668"/>
      <c r="K23" s="668"/>
      <c r="L23" s="668"/>
      <c r="M23" s="668"/>
      <c r="N23" s="668"/>
      <c r="O23" s="668"/>
      <c r="P23" s="674"/>
      <c r="Q23" s="675"/>
      <c r="R23" s="265">
        <f t="shared" si="1"/>
        <v>0</v>
      </c>
      <c r="S23" s="149"/>
    </row>
    <row r="24" spans="2:20" ht="19.5" customHeight="1">
      <c r="B24" s="726" t="s">
        <v>2</v>
      </c>
      <c r="C24" s="666"/>
      <c r="D24" s="672">
        <v>45905983</v>
      </c>
      <c r="E24" s="668"/>
      <c r="F24" s="668"/>
      <c r="G24" s="668"/>
      <c r="H24" s="668"/>
      <c r="I24" s="668"/>
      <c r="J24" s="668"/>
      <c r="K24" s="668"/>
      <c r="L24" s="668"/>
      <c r="M24" s="668"/>
      <c r="N24" s="668"/>
      <c r="O24" s="668"/>
      <c r="P24" s="674"/>
      <c r="Q24" s="675"/>
      <c r="R24" s="265">
        <f t="shared" si="1"/>
        <v>45905983</v>
      </c>
      <c r="S24" s="149"/>
    </row>
    <row r="25" spans="2:20" ht="19.5" customHeight="1">
      <c r="B25" s="727"/>
      <c r="C25" s="666"/>
      <c r="D25" s="672"/>
      <c r="E25" s="668"/>
      <c r="F25" s="668"/>
      <c r="G25" s="668"/>
      <c r="H25" s="668"/>
      <c r="I25" s="668"/>
      <c r="J25" s="668"/>
      <c r="K25" s="668"/>
      <c r="L25" s="668"/>
      <c r="M25" s="668"/>
      <c r="N25" s="668"/>
      <c r="O25" s="668"/>
      <c r="P25" s="674"/>
      <c r="Q25" s="675"/>
      <c r="R25" s="265">
        <f t="shared" si="1"/>
        <v>0</v>
      </c>
      <c r="S25" s="149"/>
    </row>
    <row r="26" spans="2:20" ht="19.5" customHeight="1">
      <c r="B26" s="726" t="s">
        <v>3</v>
      </c>
      <c r="C26" s="666"/>
      <c r="D26" s="672">
        <v>310000</v>
      </c>
      <c r="E26" s="668"/>
      <c r="F26" s="668"/>
      <c r="G26" s="676"/>
      <c r="H26" s="668"/>
      <c r="I26" s="668"/>
      <c r="J26" s="668"/>
      <c r="K26" s="668"/>
      <c r="L26" s="668"/>
      <c r="M26" s="668"/>
      <c r="N26" s="668"/>
      <c r="O26" s="668"/>
      <c r="P26" s="674"/>
      <c r="Q26" s="675"/>
      <c r="R26" s="265">
        <f t="shared" si="1"/>
        <v>310000</v>
      </c>
      <c r="S26" s="149"/>
    </row>
    <row r="27" spans="2:20" ht="19.5" customHeight="1">
      <c r="B27" s="727"/>
      <c r="C27" s="666"/>
      <c r="D27" s="672"/>
      <c r="E27" s="668"/>
      <c r="F27" s="668"/>
      <c r="G27" s="668"/>
      <c r="H27" s="668"/>
      <c r="I27" s="668"/>
      <c r="J27" s="668"/>
      <c r="K27" s="668"/>
      <c r="L27" s="668"/>
      <c r="M27" s="668"/>
      <c r="N27" s="668"/>
      <c r="O27" s="668"/>
      <c r="P27" s="674"/>
      <c r="Q27" s="675"/>
      <c r="R27" s="265">
        <f t="shared" si="1"/>
        <v>0</v>
      </c>
      <c r="S27" s="149"/>
    </row>
    <row r="28" spans="2:20" ht="19.5" customHeight="1">
      <c r="B28" s="726" t="s">
        <v>63</v>
      </c>
      <c r="C28" s="666"/>
      <c r="D28" s="672"/>
      <c r="E28" s="668"/>
      <c r="F28" s="668"/>
      <c r="G28" s="668"/>
      <c r="H28" s="668"/>
      <c r="I28" s="668"/>
      <c r="J28" s="668"/>
      <c r="K28" s="668"/>
      <c r="L28" s="668"/>
      <c r="M28" s="668"/>
      <c r="N28" s="668"/>
      <c r="O28" s="668"/>
      <c r="P28" s="674"/>
      <c r="Q28" s="675"/>
      <c r="R28" s="265">
        <f t="shared" si="1"/>
        <v>0</v>
      </c>
      <c r="S28" s="149"/>
    </row>
    <row r="29" spans="2:20" ht="19.5" customHeight="1">
      <c r="B29" s="727"/>
      <c r="C29" s="666"/>
      <c r="D29" s="672"/>
      <c r="E29" s="668"/>
      <c r="F29" s="668"/>
      <c r="G29" s="668"/>
      <c r="H29" s="668"/>
      <c r="I29" s="668"/>
      <c r="J29" s="668"/>
      <c r="K29" s="668"/>
      <c r="L29" s="668"/>
      <c r="M29" s="668"/>
      <c r="N29" s="668"/>
      <c r="O29" s="668"/>
      <c r="P29" s="674"/>
      <c r="Q29" s="675"/>
      <c r="R29" s="265">
        <f t="shared" si="1"/>
        <v>0</v>
      </c>
      <c r="S29" s="149"/>
    </row>
    <row r="30" spans="2:20" ht="19.5" customHeight="1">
      <c r="B30" s="726" t="s">
        <v>6</v>
      </c>
      <c r="C30" s="666"/>
      <c r="D30" s="672">
        <v>35348</v>
      </c>
      <c r="E30" s="668"/>
      <c r="F30" s="668"/>
      <c r="G30" s="668"/>
      <c r="H30" s="668"/>
      <c r="I30" s="668"/>
      <c r="J30" s="668"/>
      <c r="K30" s="668"/>
      <c r="L30" s="668"/>
      <c r="M30" s="668"/>
      <c r="N30" s="668"/>
      <c r="O30" s="668"/>
      <c r="P30" s="674"/>
      <c r="Q30" s="675"/>
      <c r="R30" s="265">
        <f t="shared" si="1"/>
        <v>35348</v>
      </c>
      <c r="S30" s="149"/>
    </row>
    <row r="31" spans="2:20" ht="19.5" customHeight="1">
      <c r="B31" s="727"/>
      <c r="C31" s="666"/>
      <c r="D31" s="672"/>
      <c r="E31" s="668"/>
      <c r="F31" s="668"/>
      <c r="G31" s="668"/>
      <c r="H31" s="668"/>
      <c r="I31" s="668"/>
      <c r="J31" s="668"/>
      <c r="K31" s="668"/>
      <c r="L31" s="668"/>
      <c r="M31" s="668"/>
      <c r="N31" s="668"/>
      <c r="O31" s="674"/>
      <c r="P31" s="674"/>
      <c r="Q31" s="675"/>
      <c r="R31" s="265">
        <f t="shared" si="1"/>
        <v>0</v>
      </c>
      <c r="S31" s="149"/>
    </row>
    <row r="32" spans="2:20" ht="19.5" customHeight="1">
      <c r="B32" s="726" t="s">
        <v>4</v>
      </c>
      <c r="C32" s="666"/>
      <c r="D32" s="672"/>
      <c r="E32" s="668">
        <v>113000000</v>
      </c>
      <c r="F32" s="668"/>
      <c r="G32" s="668"/>
      <c r="H32" s="668">
        <v>30000000</v>
      </c>
      <c r="I32" s="668">
        <v>10000000</v>
      </c>
      <c r="J32" s="668"/>
      <c r="K32" s="668"/>
      <c r="L32" s="668"/>
      <c r="M32" s="668"/>
      <c r="N32" s="668"/>
      <c r="O32" s="668"/>
      <c r="P32" s="674"/>
      <c r="Q32" s="675"/>
      <c r="R32" s="265">
        <f t="shared" si="1"/>
        <v>153000000</v>
      </c>
      <c r="S32" s="149"/>
    </row>
    <row r="33" spans="2:21" ht="19.5" customHeight="1">
      <c r="B33" s="723"/>
      <c r="C33" s="666"/>
      <c r="D33" s="672">
        <v>-153000000</v>
      </c>
      <c r="E33" s="668"/>
      <c r="F33" s="668"/>
      <c r="G33" s="668"/>
      <c r="H33" s="668"/>
      <c r="I33" s="668"/>
      <c r="J33" s="668"/>
      <c r="K33" s="668"/>
      <c r="L33" s="668"/>
      <c r="M33" s="668"/>
      <c r="N33" s="674"/>
      <c r="O33" s="674"/>
      <c r="P33" s="674"/>
      <c r="Q33" s="675"/>
      <c r="R33" s="265">
        <f t="shared" si="1"/>
        <v>-153000000</v>
      </c>
      <c r="S33" s="149"/>
    </row>
    <row r="34" spans="2:21" ht="19.5" customHeight="1">
      <c r="B34" s="726" t="s">
        <v>42</v>
      </c>
      <c r="C34" s="666"/>
      <c r="D34" s="672"/>
      <c r="E34" s="668"/>
      <c r="F34" s="668"/>
      <c r="G34" s="668"/>
      <c r="H34" s="668"/>
      <c r="I34" s="668"/>
      <c r="J34" s="668"/>
      <c r="K34" s="668"/>
      <c r="L34" s="668"/>
      <c r="M34" s="668"/>
      <c r="N34" s="674"/>
      <c r="O34" s="674"/>
      <c r="P34" s="674"/>
      <c r="Q34" s="675"/>
      <c r="R34" s="265">
        <f t="shared" si="1"/>
        <v>0</v>
      </c>
      <c r="S34" s="149"/>
    </row>
    <row r="35" spans="2:21" ht="18.75" customHeight="1" thickBot="1">
      <c r="B35" s="763"/>
      <c r="C35" s="666"/>
      <c r="D35" s="677"/>
      <c r="E35" s="678"/>
      <c r="F35" s="678"/>
      <c r="G35" s="678"/>
      <c r="H35" s="678"/>
      <c r="I35" s="678"/>
      <c r="J35" s="678"/>
      <c r="K35" s="678"/>
      <c r="L35" s="678"/>
      <c r="M35" s="678"/>
      <c r="N35" s="679"/>
      <c r="O35" s="679"/>
      <c r="P35" s="678"/>
      <c r="Q35" s="680"/>
      <c r="R35" s="110">
        <f t="shared" si="1"/>
        <v>0</v>
      </c>
      <c r="S35" s="149"/>
    </row>
    <row r="36" spans="2:21" ht="19.5" customHeight="1">
      <c r="B36" s="762" t="s">
        <v>51</v>
      </c>
      <c r="C36" s="681"/>
      <c r="D36" s="113">
        <f>D8+D10+D12+D14+D16+D18+D20+D22+D24+D26+D28+D30+D32+D34</f>
        <v>599725584</v>
      </c>
      <c r="E36" s="115">
        <f t="shared" ref="E36:Q36" si="2">E8+E10+E12+E14+E16+E18+E20+E22+E24+E26+E28+E30+E32+E34</f>
        <v>113000000</v>
      </c>
      <c r="F36" s="115">
        <f t="shared" si="2"/>
        <v>357193757</v>
      </c>
      <c r="G36" s="115">
        <f t="shared" si="2"/>
        <v>258260174</v>
      </c>
      <c r="H36" s="115">
        <f t="shared" si="2"/>
        <v>73995419</v>
      </c>
      <c r="I36" s="115">
        <f t="shared" si="2"/>
        <v>167654985</v>
      </c>
      <c r="J36" s="115">
        <f t="shared" si="2"/>
        <v>0</v>
      </c>
      <c r="K36" s="115">
        <f t="shared" si="2"/>
        <v>0</v>
      </c>
      <c r="L36" s="115">
        <f t="shared" si="2"/>
        <v>0</v>
      </c>
      <c r="M36" s="115">
        <f t="shared" si="2"/>
        <v>0</v>
      </c>
      <c r="N36" s="115">
        <f t="shared" si="2"/>
        <v>0</v>
      </c>
      <c r="O36" s="271">
        <f t="shared" si="2"/>
        <v>0</v>
      </c>
      <c r="P36" s="115">
        <f t="shared" si="2"/>
        <v>0</v>
      </c>
      <c r="Q36" s="114">
        <f t="shared" si="2"/>
        <v>0</v>
      </c>
      <c r="R36" s="104">
        <f t="shared" si="1"/>
        <v>1569829919</v>
      </c>
    </row>
    <row r="37" spans="2:21" ht="19.5" customHeight="1" thickBot="1">
      <c r="B37" s="763"/>
      <c r="C37" s="681"/>
      <c r="D37" s="116">
        <f>D9+D11+D13+D15+D17+D19+D21+D23+D25+D27+D29+D31+D33+D35</f>
        <v>-201960008</v>
      </c>
      <c r="E37" s="269">
        <f t="shared" ref="E37:Q37" si="3">E9+E11+E13+E15+E17+E19+E21+E23+E25+E27+E29+E31+E33+E35</f>
        <v>0</v>
      </c>
      <c r="F37" s="270">
        <f t="shared" si="3"/>
        <v>0</v>
      </c>
      <c r="G37" s="270">
        <f t="shared" si="3"/>
        <v>0</v>
      </c>
      <c r="H37" s="270">
        <f t="shared" si="3"/>
        <v>0</v>
      </c>
      <c r="I37" s="270">
        <f t="shared" si="3"/>
        <v>0</v>
      </c>
      <c r="J37" s="270">
        <f t="shared" si="3"/>
        <v>0</v>
      </c>
      <c r="K37" s="270">
        <f t="shared" si="3"/>
        <v>0</v>
      </c>
      <c r="L37" s="270">
        <f t="shared" si="3"/>
        <v>0</v>
      </c>
      <c r="M37" s="270">
        <f t="shared" si="3"/>
        <v>0</v>
      </c>
      <c r="N37" s="270">
        <f t="shared" si="3"/>
        <v>0</v>
      </c>
      <c r="O37" s="270">
        <f t="shared" si="3"/>
        <v>0</v>
      </c>
      <c r="P37" s="270">
        <f t="shared" si="3"/>
        <v>0</v>
      </c>
      <c r="Q37" s="117">
        <f t="shared" si="3"/>
        <v>0</v>
      </c>
      <c r="R37" s="105">
        <f t="shared" si="1"/>
        <v>-201960008</v>
      </c>
      <c r="S37" s="151"/>
    </row>
    <row r="38" spans="2:21" ht="19.5" customHeight="1">
      <c r="B38" s="723" t="s">
        <v>61</v>
      </c>
      <c r="C38" s="681"/>
      <c r="D38" s="682"/>
      <c r="E38" s="683">
        <v>50000000</v>
      </c>
      <c r="F38" s="683"/>
      <c r="G38" s="684">
        <v>30000000</v>
      </c>
      <c r="H38" s="683"/>
      <c r="I38" s="683"/>
      <c r="J38" s="683"/>
      <c r="K38" s="683"/>
      <c r="L38" s="683"/>
      <c r="M38" s="683"/>
      <c r="N38" s="683"/>
      <c r="O38" s="683"/>
      <c r="P38" s="683"/>
      <c r="Q38" s="685"/>
      <c r="R38" s="104">
        <f t="shared" si="1"/>
        <v>80000000</v>
      </c>
      <c r="S38" s="151"/>
    </row>
    <row r="39" spans="2:21" ht="19.5" customHeight="1" thickBot="1">
      <c r="B39" s="723"/>
      <c r="C39" s="681"/>
      <c r="D39" s="686"/>
      <c r="E39" s="687"/>
      <c r="F39" s="687"/>
      <c r="G39" s="687"/>
      <c r="H39" s="687"/>
      <c r="I39" s="687"/>
      <c r="J39" s="687"/>
      <c r="K39" s="687"/>
      <c r="L39" s="687"/>
      <c r="M39" s="687"/>
      <c r="N39" s="687"/>
      <c r="O39" s="688"/>
      <c r="P39" s="687"/>
      <c r="Q39" s="689"/>
      <c r="R39" s="106">
        <f t="shared" si="1"/>
        <v>0</v>
      </c>
      <c r="S39" s="151"/>
    </row>
    <row r="40" spans="2:21" ht="39.75" customHeight="1" thickBot="1">
      <c r="B40" s="96" t="s">
        <v>91</v>
      </c>
      <c r="C40" s="681"/>
      <c r="D40" s="118">
        <f>D36+D37+D38+D39-D41</f>
        <v>397765576</v>
      </c>
      <c r="E40" s="119">
        <f>E36+E37+E38+E39-E41</f>
        <v>163000000</v>
      </c>
      <c r="F40" s="119">
        <f t="shared" ref="F40:Q40" si="4">F36+F37+F38+F39-F41</f>
        <v>357193757</v>
      </c>
      <c r="G40" s="119">
        <f t="shared" si="4"/>
        <v>288260174</v>
      </c>
      <c r="H40" s="119">
        <f t="shared" si="4"/>
        <v>73995419</v>
      </c>
      <c r="I40" s="119">
        <f t="shared" si="4"/>
        <v>167654985</v>
      </c>
      <c r="J40" s="119">
        <f t="shared" si="4"/>
        <v>0</v>
      </c>
      <c r="K40" s="119">
        <f t="shared" si="4"/>
        <v>0</v>
      </c>
      <c r="L40" s="119">
        <f t="shared" si="4"/>
        <v>0</v>
      </c>
      <c r="M40" s="119">
        <f t="shared" si="4"/>
        <v>0</v>
      </c>
      <c r="N40" s="119">
        <f t="shared" si="4"/>
        <v>0</v>
      </c>
      <c r="O40" s="119">
        <f t="shared" si="4"/>
        <v>0</v>
      </c>
      <c r="P40" s="119">
        <f t="shared" si="4"/>
        <v>0</v>
      </c>
      <c r="Q40" s="120">
        <f t="shared" si="4"/>
        <v>0</v>
      </c>
      <c r="R40" s="107">
        <f>SUM(D40:Q40)</f>
        <v>1447869911</v>
      </c>
    </row>
    <row r="41" spans="2:21" ht="39.75" customHeight="1" thickBot="1">
      <c r="B41" s="97" t="s">
        <v>92</v>
      </c>
      <c r="C41" s="690"/>
      <c r="D41" s="121"/>
      <c r="E41" s="121">
        <f>E20+E21</f>
        <v>0</v>
      </c>
      <c r="F41" s="121"/>
      <c r="G41" s="121"/>
      <c r="H41" s="121"/>
      <c r="I41" s="121"/>
      <c r="J41" s="121"/>
      <c r="K41" s="121"/>
      <c r="L41" s="121"/>
      <c r="M41" s="121"/>
      <c r="N41" s="121"/>
      <c r="O41" s="121"/>
      <c r="P41" s="121"/>
      <c r="Q41" s="121"/>
      <c r="R41" s="108">
        <f>SUM(D41:Q41)</f>
        <v>0</v>
      </c>
    </row>
    <row r="42" spans="2:21" ht="19.5" customHeight="1">
      <c r="B42" s="762" t="s">
        <v>20</v>
      </c>
      <c r="C42" s="666"/>
      <c r="D42" s="691">
        <v>23965526</v>
      </c>
      <c r="E42" s="669"/>
      <c r="F42" s="683"/>
      <c r="G42" s="669"/>
      <c r="H42" s="669"/>
      <c r="I42" s="669"/>
      <c r="J42" s="669"/>
      <c r="K42" s="669"/>
      <c r="L42" s="669"/>
      <c r="M42" s="669"/>
      <c r="N42" s="669"/>
      <c r="O42" s="670"/>
      <c r="P42" s="670"/>
      <c r="Q42" s="671"/>
      <c r="R42" s="109">
        <f t="shared" ref="R42:R47" si="5">SUM(D42:Q42)</f>
        <v>23965526</v>
      </c>
    </row>
    <row r="43" spans="2:21" ht="21.75" customHeight="1" thickBot="1">
      <c r="B43" s="763"/>
      <c r="C43" s="666"/>
      <c r="D43" s="686">
        <v>3995426</v>
      </c>
      <c r="E43" s="678"/>
      <c r="F43" s="692"/>
      <c r="G43" s="688"/>
      <c r="H43" s="687"/>
      <c r="I43" s="687"/>
      <c r="J43" s="687"/>
      <c r="K43" s="687"/>
      <c r="L43" s="687"/>
      <c r="M43" s="687"/>
      <c r="N43" s="687"/>
      <c r="O43" s="693"/>
      <c r="P43" s="693"/>
      <c r="Q43" s="689"/>
      <c r="R43" s="110">
        <f t="shared" si="5"/>
        <v>3995426</v>
      </c>
      <c r="U43" s="629"/>
    </row>
    <row r="44" spans="2:21" ht="41.25" customHeight="1" thickBot="1">
      <c r="B44" s="98" t="s">
        <v>24</v>
      </c>
      <c r="C44" s="694"/>
      <c r="D44" s="122">
        <f>D40+D41-(D42+D43)</f>
        <v>369804624</v>
      </c>
      <c r="E44" s="122">
        <f t="shared" ref="E44:Q44" si="6">E40+E41-(E42+E43)</f>
        <v>163000000</v>
      </c>
      <c r="F44" s="122">
        <f t="shared" si="6"/>
        <v>357193757</v>
      </c>
      <c r="G44" s="122">
        <f t="shared" si="6"/>
        <v>288260174</v>
      </c>
      <c r="H44" s="122">
        <f t="shared" si="6"/>
        <v>73995419</v>
      </c>
      <c r="I44" s="122">
        <f>I40+I41-(I42+I43)</f>
        <v>167654985</v>
      </c>
      <c r="J44" s="122">
        <f>J40+J41-(J42+J43)</f>
        <v>0</v>
      </c>
      <c r="K44" s="122">
        <f>K40+K41-(K42+K43)</f>
        <v>0</v>
      </c>
      <c r="L44" s="122">
        <f t="shared" si="6"/>
        <v>0</v>
      </c>
      <c r="M44" s="122">
        <f t="shared" si="6"/>
        <v>0</v>
      </c>
      <c r="N44" s="122">
        <f t="shared" si="6"/>
        <v>0</v>
      </c>
      <c r="O44" s="122">
        <f t="shared" si="6"/>
        <v>0</v>
      </c>
      <c r="P44" s="122">
        <f t="shared" si="6"/>
        <v>0</v>
      </c>
      <c r="Q44" s="122">
        <f t="shared" si="6"/>
        <v>0</v>
      </c>
      <c r="R44" s="111">
        <f t="shared" si="5"/>
        <v>1419908959</v>
      </c>
    </row>
    <row r="45" spans="2:21" ht="19.5" customHeight="1">
      <c r="B45" s="723" t="s">
        <v>62</v>
      </c>
      <c r="C45" s="695"/>
      <c r="D45" s="691">
        <v>30000000</v>
      </c>
      <c r="E45" s="696"/>
      <c r="F45" s="669"/>
      <c r="G45" s="669"/>
      <c r="H45" s="669"/>
      <c r="I45" s="669"/>
      <c r="J45" s="669"/>
      <c r="K45" s="669"/>
      <c r="L45" s="669"/>
      <c r="M45" s="669"/>
      <c r="N45" s="670"/>
      <c r="O45" s="670"/>
      <c r="P45" s="670"/>
      <c r="Q45" s="670"/>
      <c r="R45" s="102">
        <f t="shared" si="5"/>
        <v>30000000</v>
      </c>
      <c r="S45" s="631"/>
      <c r="T45" s="152"/>
    </row>
    <row r="46" spans="2:21" ht="19.5" customHeight="1" thickBot="1">
      <c r="B46" s="723"/>
      <c r="C46" s="666"/>
      <c r="D46" s="686"/>
      <c r="E46" s="687"/>
      <c r="F46" s="687"/>
      <c r="G46" s="687"/>
      <c r="H46" s="687"/>
      <c r="I46" s="687"/>
      <c r="J46" s="687"/>
      <c r="K46" s="687"/>
      <c r="L46" s="687"/>
      <c r="M46" s="687"/>
      <c r="N46" s="697"/>
      <c r="O46" s="693"/>
      <c r="P46" s="693"/>
      <c r="Q46" s="693"/>
      <c r="R46" s="103">
        <f t="shared" si="5"/>
        <v>0</v>
      </c>
    </row>
    <row r="47" spans="2:21" ht="39.75" customHeight="1" thickBot="1">
      <c r="B47" s="98" t="s">
        <v>23</v>
      </c>
      <c r="C47" s="698"/>
      <c r="D47" s="123">
        <f>D44+(D45+D46)</f>
        <v>399804624</v>
      </c>
      <c r="E47" s="124">
        <f t="shared" ref="E47:Q47" si="7">E44+(E45+E46)</f>
        <v>163000000</v>
      </c>
      <c r="F47" s="124">
        <f t="shared" si="7"/>
        <v>357193757</v>
      </c>
      <c r="G47" s="124">
        <f t="shared" si="7"/>
        <v>288260174</v>
      </c>
      <c r="H47" s="124">
        <f>H44+(H45+H46)</f>
        <v>73995419</v>
      </c>
      <c r="I47" s="124">
        <f t="shared" si="7"/>
        <v>167654985</v>
      </c>
      <c r="J47" s="124">
        <f t="shared" si="7"/>
        <v>0</v>
      </c>
      <c r="K47" s="124">
        <f t="shared" si="7"/>
        <v>0</v>
      </c>
      <c r="L47" s="124">
        <f t="shared" si="7"/>
        <v>0</v>
      </c>
      <c r="M47" s="124">
        <f t="shared" si="7"/>
        <v>0</v>
      </c>
      <c r="N47" s="124">
        <f t="shared" si="7"/>
        <v>0</v>
      </c>
      <c r="O47" s="124">
        <f t="shared" si="7"/>
        <v>0</v>
      </c>
      <c r="P47" s="124">
        <f t="shared" si="7"/>
        <v>0</v>
      </c>
      <c r="Q47" s="124">
        <f t="shared" si="7"/>
        <v>0</v>
      </c>
      <c r="R47" s="112">
        <f t="shared" si="5"/>
        <v>1449908959</v>
      </c>
    </row>
    <row r="48" spans="2:21" ht="25.5" customHeight="1" thickBot="1">
      <c r="B48" s="98" t="s">
        <v>109</v>
      </c>
      <c r="C48" s="698"/>
      <c r="D48" s="699">
        <v>369804624</v>
      </c>
      <c r="E48" s="700"/>
      <c r="F48" s="700">
        <v>357193757</v>
      </c>
      <c r="G48" s="700">
        <v>288260174</v>
      </c>
      <c r="H48" s="700"/>
      <c r="I48" s="700">
        <v>167654985</v>
      </c>
      <c r="J48" s="700"/>
      <c r="K48" s="700"/>
      <c r="L48" s="700"/>
      <c r="M48" s="700"/>
      <c r="N48" s="700"/>
      <c r="O48" s="700"/>
      <c r="P48" s="700"/>
      <c r="Q48" s="700"/>
      <c r="R48" s="111">
        <f>SUM(D48:Q48)</f>
        <v>1182913540</v>
      </c>
    </row>
    <row r="49" spans="1:18" ht="39" customHeight="1" thickBot="1">
      <c r="A49" s="149"/>
      <c r="B49" s="138" t="s">
        <v>136</v>
      </c>
      <c r="C49" s="698"/>
      <c r="D49" s="699"/>
      <c r="E49" s="701"/>
      <c r="F49" s="701"/>
      <c r="G49" s="702"/>
      <c r="H49" s="703"/>
      <c r="I49" s="703"/>
      <c r="J49" s="703"/>
      <c r="K49" s="703"/>
      <c r="L49" s="703"/>
      <c r="M49" s="703"/>
      <c r="N49" s="703"/>
      <c r="O49" s="703"/>
      <c r="P49" s="703"/>
      <c r="Q49" s="703"/>
      <c r="R49" s="704"/>
    </row>
    <row r="50" spans="1:18" ht="19.5" customHeight="1" thickBot="1">
      <c r="B50" s="125" t="s">
        <v>122</v>
      </c>
      <c r="C50" s="705"/>
      <c r="D50" s="706">
        <v>6930000</v>
      </c>
      <c r="E50" s="706"/>
      <c r="F50" s="706"/>
      <c r="G50" s="706"/>
      <c r="H50" s="706"/>
      <c r="I50" s="706"/>
      <c r="J50" s="706"/>
      <c r="K50" s="706"/>
      <c r="L50" s="706"/>
      <c r="M50" s="706"/>
      <c r="N50" s="706"/>
      <c r="O50" s="706"/>
      <c r="P50" s="706"/>
      <c r="Q50" s="706"/>
      <c r="R50" s="111">
        <f>SUM(D50:Q50)</f>
        <v>6930000</v>
      </c>
    </row>
    <row r="51" spans="1:18" ht="19.5" customHeight="1" thickBot="1">
      <c r="B51" s="125" t="s">
        <v>16</v>
      </c>
      <c r="C51" s="705"/>
      <c r="D51" s="706"/>
      <c r="E51" s="706"/>
      <c r="F51" s="706">
        <v>1120000</v>
      </c>
      <c r="G51" s="706"/>
      <c r="H51" s="706">
        <v>649600</v>
      </c>
      <c r="I51" s="706"/>
      <c r="J51" s="706"/>
      <c r="K51" s="706"/>
      <c r="L51" s="706"/>
      <c r="M51" s="706"/>
      <c r="N51" s="706"/>
      <c r="O51" s="706"/>
      <c r="P51" s="706"/>
      <c r="Q51" s="706"/>
      <c r="R51" s="111">
        <f>SUM(D51:Q51)</f>
        <v>1769600</v>
      </c>
    </row>
    <row r="52" spans="1:18" ht="19.5" customHeight="1" thickBot="1">
      <c r="B52" s="125" t="s">
        <v>123</v>
      </c>
      <c r="C52" s="705"/>
      <c r="D52" s="706"/>
      <c r="E52" s="706">
        <v>3000000</v>
      </c>
      <c r="F52" s="706"/>
      <c r="G52" s="706">
        <v>1000000</v>
      </c>
      <c r="H52" s="706"/>
      <c r="I52" s="706"/>
      <c r="J52" s="706"/>
      <c r="K52" s="706"/>
      <c r="L52" s="706"/>
      <c r="M52" s="706"/>
      <c r="N52" s="706"/>
      <c r="O52" s="706"/>
      <c r="P52" s="706"/>
      <c r="Q52" s="706"/>
      <c r="R52" s="111">
        <f>SUM(D52:Q52)</f>
        <v>4000000</v>
      </c>
    </row>
    <row r="53" spans="1:18" ht="19.5" customHeight="1">
      <c r="B53" s="141"/>
      <c r="C53" s="154"/>
      <c r="D53" s="151"/>
      <c r="E53" s="151"/>
      <c r="F53" s="151"/>
      <c r="G53" s="151"/>
      <c r="H53" s="151"/>
      <c r="I53" s="151"/>
      <c r="J53" s="151"/>
      <c r="K53" s="151"/>
      <c r="L53" s="151"/>
      <c r="M53" s="151"/>
      <c r="N53" s="151"/>
      <c r="O53" s="151"/>
      <c r="P53" s="151"/>
      <c r="Q53" s="151"/>
      <c r="R53" s="155"/>
    </row>
    <row r="54" spans="1:18" ht="25.5" customHeight="1" thickBot="1">
      <c r="B54" s="146" t="s">
        <v>134</v>
      </c>
      <c r="C54" s="153"/>
      <c r="D54" s="156"/>
      <c r="E54" s="156"/>
      <c r="F54" s="156"/>
      <c r="G54" s="156"/>
      <c r="H54" s="156"/>
      <c r="I54" s="156"/>
      <c r="J54" s="156"/>
      <c r="K54" s="156"/>
      <c r="L54" s="156"/>
      <c r="M54" s="156"/>
      <c r="N54" s="156"/>
      <c r="O54" s="146" t="s">
        <v>135</v>
      </c>
      <c r="P54" s="156"/>
      <c r="Q54" s="156"/>
      <c r="R54" s="155"/>
    </row>
    <row r="55" spans="1:18" ht="38.25" customHeight="1" thickBot="1">
      <c r="B55" s="735" t="s">
        <v>493</v>
      </c>
      <c r="C55" s="735"/>
      <c r="D55" s="735"/>
      <c r="E55" s="735"/>
      <c r="F55" s="735"/>
      <c r="G55" s="144"/>
      <c r="H55" s="144"/>
      <c r="I55" s="144"/>
      <c r="J55" s="144"/>
      <c r="K55" s="144"/>
      <c r="L55" s="144"/>
      <c r="M55" s="144"/>
      <c r="O55" s="733" t="s">
        <v>115</v>
      </c>
      <c r="P55" s="734"/>
      <c r="Q55" s="144"/>
      <c r="R55" s="144"/>
    </row>
    <row r="56" spans="1:18" ht="22.5" customHeight="1" thickBot="1">
      <c r="B56" s="131" t="s">
        <v>67</v>
      </c>
      <c r="C56" s="142"/>
      <c r="D56" s="586" t="s">
        <v>68</v>
      </c>
      <c r="E56" s="587"/>
      <c r="F56" s="588"/>
      <c r="G56" s="135" t="s">
        <v>69</v>
      </c>
      <c r="H56" s="135" t="s">
        <v>70</v>
      </c>
      <c r="I56" s="248" t="s">
        <v>71</v>
      </c>
      <c r="J56" s="130"/>
      <c r="K56" s="252"/>
      <c r="L56" s="130" t="s">
        <v>73</v>
      </c>
      <c r="M56" s="131" t="s">
        <v>74</v>
      </c>
      <c r="O56" s="126" t="s">
        <v>110</v>
      </c>
      <c r="P56" s="174">
        <v>1</v>
      </c>
      <c r="Q56" s="144"/>
      <c r="R56" s="144"/>
    </row>
    <row r="57" spans="1:18" ht="22.5" customHeight="1" thickBot="1">
      <c r="A57" s="236"/>
      <c r="B57" s="591" t="s">
        <v>679</v>
      </c>
      <c r="C57" s="167"/>
      <c r="D57" s="739" t="s">
        <v>686</v>
      </c>
      <c r="E57" s="740"/>
      <c r="F57" s="741"/>
      <c r="G57" s="210">
        <v>0.5</v>
      </c>
      <c r="H57" s="210"/>
      <c r="I57" s="249">
        <v>0.5</v>
      </c>
      <c r="J57" s="589"/>
      <c r="K57" s="590"/>
      <c r="L57" s="132">
        <f>ROUNDDOWN('税額計算（出力シート） '!R9*I57,-3)</f>
        <v>674953000</v>
      </c>
      <c r="M57" s="102">
        <f>IF(L57&lt;=10000000,L57*0.1,IF(L57&lt;=30000000,L57*0.15-500000,IF(L57&lt;=50000000,L57*0.2-2000000,IF(L57&lt;=100000000,L57*0.3-7000000,IF(L57&lt;=300000000,L57*0.4-17000000,L57*0.5-47000000)))))</f>
        <v>290476500</v>
      </c>
      <c r="O57" s="127" t="s">
        <v>111</v>
      </c>
      <c r="P57" s="174">
        <v>4</v>
      </c>
      <c r="Q57" s="144"/>
      <c r="R57" s="144"/>
    </row>
    <row r="58" spans="1:18" ht="22.5" customHeight="1" thickBot="1">
      <c r="B58" s="591" t="s">
        <v>680</v>
      </c>
      <c r="C58" s="167"/>
      <c r="D58" s="736" t="s">
        <v>687</v>
      </c>
      <c r="E58" s="737"/>
      <c r="F58" s="738"/>
      <c r="G58" s="169" t="s">
        <v>693</v>
      </c>
      <c r="H58" s="169"/>
      <c r="I58" s="250">
        <v>0.1</v>
      </c>
      <c r="J58" s="589"/>
      <c r="K58" s="590"/>
      <c r="L58" s="132">
        <f>ROUNDDOWN('税額計算（出力シート） '!R9*I58,-3)</f>
        <v>134990000</v>
      </c>
      <c r="M58" s="102">
        <f t="shared" ref="M58:M70" si="8">IF(L58&lt;=10000000,L58*0.1,IF(L58&lt;=30000000,L58*0.15-500000,IF(L58&lt;=50000000,L58*0.2-2000000,IF(L58&lt;=100000000,L58*0.3-7000000,IF(L58&lt;=300000000,L58*0.4-17000000,L58*0.5-47000000)))))</f>
        <v>36996000</v>
      </c>
      <c r="O58" s="127" t="s">
        <v>112</v>
      </c>
      <c r="P58" s="630"/>
    </row>
    <row r="59" spans="1:18" ht="22.5" customHeight="1" thickBot="1">
      <c r="B59" s="592" t="s">
        <v>681</v>
      </c>
      <c r="C59" s="167"/>
      <c r="D59" s="718" t="s">
        <v>688</v>
      </c>
      <c r="E59" s="719"/>
      <c r="F59" s="720"/>
      <c r="G59" s="169" t="s">
        <v>693</v>
      </c>
      <c r="H59" s="169" t="s">
        <v>694</v>
      </c>
      <c r="I59" s="250">
        <v>0.2</v>
      </c>
      <c r="J59" s="589"/>
      <c r="K59" s="590"/>
      <c r="L59" s="132">
        <f>ROUNDDOWN('税額計算（出力シート） '!R9*I59,-3)</f>
        <v>269981000</v>
      </c>
      <c r="M59" s="102">
        <f>IF(L59&lt;=10000000,L59*0.1,IF(L59&lt;=30000000,L59*0.15-500000,IF(L59&lt;=50000000,L59*0.2-2000000,IF(L59&lt;=100000000,L59*0.3-7000000,IF(L59&lt;=300000000,L59*0.4-17000000,L59*0.5-47000000)))))</f>
        <v>90992400</v>
      </c>
      <c r="O59" s="127" t="s">
        <v>113</v>
      </c>
      <c r="P59" s="174"/>
    </row>
    <row r="60" spans="1:18" ht="22.5" customHeight="1" thickBot="1">
      <c r="B60" s="593" t="s">
        <v>682</v>
      </c>
      <c r="C60" s="167"/>
      <c r="D60" s="713" t="s">
        <v>689</v>
      </c>
      <c r="E60" s="714"/>
      <c r="F60" s="715"/>
      <c r="G60" s="169" t="s">
        <v>693</v>
      </c>
      <c r="H60" s="169"/>
      <c r="I60" s="250">
        <v>0.1</v>
      </c>
      <c r="J60" s="589"/>
      <c r="K60" s="590"/>
      <c r="L60" s="132">
        <f>ROUNDDOWN('税額計算（出力シート） '!R9*I60,-3)</f>
        <v>134990000</v>
      </c>
      <c r="M60" s="102">
        <f t="shared" si="8"/>
        <v>36996000</v>
      </c>
      <c r="O60" s="128" t="s">
        <v>114</v>
      </c>
      <c r="P60" s="137">
        <f>'税額計算（出力シート） '!H9</f>
        <v>5</v>
      </c>
    </row>
    <row r="61" spans="1:18" ht="22.5" customHeight="1">
      <c r="B61" s="593" t="s">
        <v>684</v>
      </c>
      <c r="C61" s="167"/>
      <c r="D61" s="713" t="s">
        <v>690</v>
      </c>
      <c r="E61" s="714"/>
      <c r="F61" s="715"/>
      <c r="G61" s="169" t="s">
        <v>693</v>
      </c>
      <c r="H61" s="169"/>
      <c r="I61" s="250">
        <v>0.1</v>
      </c>
      <c r="J61" s="589"/>
      <c r="K61" s="590"/>
      <c r="L61" s="132">
        <f>ROUNDDOWN('税額計算（出力シート） '!R9*I61,-3)</f>
        <v>134990000</v>
      </c>
      <c r="M61" s="102">
        <f t="shared" si="8"/>
        <v>36996000</v>
      </c>
      <c r="O61" s="158"/>
      <c r="P61" s="159"/>
    </row>
    <row r="62" spans="1:18" ht="22.5" customHeight="1">
      <c r="B62" s="593" t="s">
        <v>685</v>
      </c>
      <c r="C62" s="167"/>
      <c r="D62" s="736" t="s">
        <v>691</v>
      </c>
      <c r="E62" s="737"/>
      <c r="F62" s="738"/>
      <c r="G62" s="169">
        <v>0</v>
      </c>
      <c r="H62" s="169"/>
      <c r="I62" s="250">
        <v>0</v>
      </c>
      <c r="J62" s="589"/>
      <c r="K62" s="590"/>
      <c r="L62" s="132">
        <f>ROUNDDOWN('税額計算（出力シート） '!R9*I62,-3)</f>
        <v>0</v>
      </c>
      <c r="M62" s="102">
        <f t="shared" si="8"/>
        <v>0</v>
      </c>
      <c r="O62" s="158"/>
      <c r="P62" s="159"/>
    </row>
    <row r="63" spans="1:18" ht="22.5" customHeight="1" thickBot="1">
      <c r="B63" s="593" t="s">
        <v>685</v>
      </c>
      <c r="C63" s="167"/>
      <c r="D63" s="736" t="s">
        <v>692</v>
      </c>
      <c r="E63" s="737"/>
      <c r="F63" s="738"/>
      <c r="G63" s="169">
        <v>0</v>
      </c>
      <c r="H63" s="169"/>
      <c r="I63" s="250">
        <v>0</v>
      </c>
      <c r="J63" s="589"/>
      <c r="K63" s="590"/>
      <c r="L63" s="132">
        <f>ROUNDDOWN('税額計算（出力シート） '!R9*I63,-3)</f>
        <v>0</v>
      </c>
      <c r="M63" s="102">
        <f t="shared" si="8"/>
        <v>0</v>
      </c>
      <c r="O63" s="158"/>
      <c r="P63" s="159"/>
    </row>
    <row r="64" spans="1:18" ht="22.5" customHeight="1" thickBot="1">
      <c r="B64" s="593"/>
      <c r="C64" s="167"/>
      <c r="D64" s="713"/>
      <c r="E64" s="714"/>
      <c r="F64" s="715"/>
      <c r="G64" s="169"/>
      <c r="H64" s="169"/>
      <c r="I64" s="250"/>
      <c r="J64" s="589"/>
      <c r="K64" s="590"/>
      <c r="L64" s="132">
        <f>ROUNDDOWN('税額計算（出力シート） '!R9*I64,-3)</f>
        <v>0</v>
      </c>
      <c r="M64" s="102">
        <f t="shared" si="8"/>
        <v>0</v>
      </c>
      <c r="O64" s="126" t="s">
        <v>116</v>
      </c>
      <c r="P64" s="174">
        <v>17</v>
      </c>
    </row>
    <row r="65" spans="1:16" ht="22.5" customHeight="1" thickBot="1">
      <c r="B65" s="593"/>
      <c r="C65" s="167"/>
      <c r="D65" s="713"/>
      <c r="E65" s="714"/>
      <c r="F65" s="715"/>
      <c r="G65" s="169"/>
      <c r="H65" s="169"/>
      <c r="I65" s="250"/>
      <c r="J65" s="589"/>
      <c r="K65" s="590"/>
      <c r="L65" s="132">
        <f>ROUNDDOWN('税額計算（出力シート） '!R9*I65,-3)</f>
        <v>0</v>
      </c>
      <c r="M65" s="102">
        <f t="shared" si="8"/>
        <v>0</v>
      </c>
      <c r="O65" s="175"/>
      <c r="P65" s="176"/>
    </row>
    <row r="66" spans="1:16" ht="22.5" customHeight="1" thickBot="1">
      <c r="B66" s="593"/>
      <c r="C66" s="167"/>
      <c r="D66" s="713"/>
      <c r="E66" s="714"/>
      <c r="F66" s="715"/>
      <c r="G66" s="169"/>
      <c r="H66" s="169"/>
      <c r="I66" s="250"/>
      <c r="J66" s="589"/>
      <c r="K66" s="590"/>
      <c r="L66" s="132">
        <f>ROUNDDOWN('税額計算（出力シート） '!R9*I66,-3)</f>
        <v>0</v>
      </c>
      <c r="M66" s="102">
        <f t="shared" si="8"/>
        <v>0</v>
      </c>
      <c r="O66" s="129" t="s">
        <v>117</v>
      </c>
      <c r="P66" s="174"/>
    </row>
    <row r="67" spans="1:16" ht="22.5" customHeight="1" thickBot="1">
      <c r="B67" s="593"/>
      <c r="C67" s="167"/>
      <c r="D67" s="713"/>
      <c r="E67" s="714"/>
      <c r="F67" s="715"/>
      <c r="G67" s="169"/>
      <c r="H67" s="169"/>
      <c r="I67" s="250"/>
      <c r="J67" s="589"/>
      <c r="K67" s="595"/>
      <c r="L67" s="229">
        <f>ROUNDDOWN('税額計算（出力シート） '!R9*I67,-3)</f>
        <v>0</v>
      </c>
      <c r="M67" s="235">
        <f t="shared" si="8"/>
        <v>0</v>
      </c>
      <c r="O67" s="175"/>
      <c r="P67" s="176"/>
    </row>
    <row r="68" spans="1:16" ht="22.5" customHeight="1" thickBot="1">
      <c r="B68" s="593"/>
      <c r="C68" s="167"/>
      <c r="D68" s="713"/>
      <c r="E68" s="714"/>
      <c r="F68" s="715"/>
      <c r="G68" s="169"/>
      <c r="H68" s="169"/>
      <c r="I68" s="250"/>
      <c r="J68" s="589"/>
      <c r="K68" s="590"/>
      <c r="L68" s="255">
        <f>ROUNDDOWN('税額計算（出力シート） '!R9*I68,-3)</f>
        <v>0</v>
      </c>
      <c r="M68" s="235">
        <f t="shared" si="8"/>
        <v>0</v>
      </c>
      <c r="O68" s="129" t="s">
        <v>118</v>
      </c>
      <c r="P68" s="174">
        <v>26</v>
      </c>
    </row>
    <row r="69" spans="1:16" ht="22.5" customHeight="1">
      <c r="B69" s="594"/>
      <c r="C69" s="257"/>
      <c r="D69" s="713"/>
      <c r="E69" s="746"/>
      <c r="F69" s="747"/>
      <c r="G69" s="172"/>
      <c r="H69" s="172"/>
      <c r="I69" s="250"/>
      <c r="J69" s="589"/>
      <c r="K69" s="590"/>
      <c r="L69" s="255">
        <f>ROUNDDOWN('税額計算（出力シート） '!R9*I69,-3)</f>
        <v>0</v>
      </c>
      <c r="M69" s="235">
        <f t="shared" si="8"/>
        <v>0</v>
      </c>
      <c r="N69" s="149"/>
      <c r="O69" s="161"/>
      <c r="P69" s="162"/>
    </row>
    <row r="70" spans="1:16" ht="22.5" customHeight="1" thickBot="1">
      <c r="B70" s="594"/>
      <c r="C70" s="257"/>
      <c r="D70" s="713"/>
      <c r="E70" s="746"/>
      <c r="F70" s="747"/>
      <c r="G70" s="172"/>
      <c r="H70" s="172"/>
      <c r="I70" s="254"/>
      <c r="J70" s="589"/>
      <c r="K70" s="590"/>
      <c r="L70" s="255">
        <f>ROUNDDOWN('税額計算（出力シート） '!R9*I70,-3)</f>
        <v>0</v>
      </c>
      <c r="M70" s="235">
        <f t="shared" si="8"/>
        <v>0</v>
      </c>
      <c r="N70" s="149"/>
      <c r="O70" s="161"/>
      <c r="P70" s="163"/>
    </row>
    <row r="71" spans="1:16" ht="22.5" customHeight="1" thickBot="1">
      <c r="B71" s="136" t="s">
        <v>72</v>
      </c>
      <c r="C71" s="148"/>
      <c r="D71" s="760"/>
      <c r="E71" s="761"/>
      <c r="F71" s="761"/>
      <c r="G71" s="173"/>
      <c r="H71" s="173"/>
      <c r="I71" s="251">
        <f>SUM(I57:I70)</f>
        <v>1</v>
      </c>
      <c r="J71" s="133"/>
      <c r="K71" s="253"/>
      <c r="L71" s="133">
        <f>SUM(L57:L70)</f>
        <v>1349904000</v>
      </c>
      <c r="M71" s="134">
        <f>ROUNDDOWN(SUM(M57:M70),-2)</f>
        <v>492456900</v>
      </c>
      <c r="N71" s="160"/>
      <c r="O71" s="164"/>
      <c r="P71" s="165"/>
    </row>
    <row r="72" spans="1:16" s="154" customFormat="1" ht="39.75" customHeight="1" thickBot="1">
      <c r="A72" s="145"/>
      <c r="B72" s="751" t="s">
        <v>107</v>
      </c>
      <c r="C72" s="751"/>
      <c r="D72" s="751"/>
      <c r="E72" s="751"/>
      <c r="F72" s="144"/>
      <c r="G72" s="140"/>
      <c r="H72" s="140"/>
      <c r="I72" s="140"/>
      <c r="J72" s="140"/>
      <c r="K72" s="140"/>
      <c r="L72" s="140"/>
      <c r="M72" s="140"/>
      <c r="O72" s="752" t="s">
        <v>139</v>
      </c>
      <c r="P72" s="753"/>
    </row>
    <row r="73" spans="1:16" ht="19.5" customHeight="1" thickBot="1">
      <c r="A73" s="154"/>
      <c r="B73" s="131" t="s">
        <v>67</v>
      </c>
      <c r="C73" s="157"/>
      <c r="D73" s="758" t="s">
        <v>68</v>
      </c>
      <c r="E73" s="759"/>
      <c r="F73" s="759"/>
      <c r="G73" s="135" t="s">
        <v>69</v>
      </c>
      <c r="H73" s="135" t="s">
        <v>70</v>
      </c>
      <c r="I73" s="230" t="s">
        <v>71</v>
      </c>
      <c r="J73" s="214"/>
      <c r="K73" s="214"/>
      <c r="L73" s="130" t="s">
        <v>73</v>
      </c>
      <c r="M73" s="131" t="s">
        <v>74</v>
      </c>
      <c r="O73" s="754" t="s">
        <v>119</v>
      </c>
      <c r="P73" s="756">
        <v>200000000</v>
      </c>
    </row>
    <row r="74" spans="1:16" ht="19.5" customHeight="1" thickBot="1">
      <c r="B74" s="177"/>
      <c r="C74" s="167"/>
      <c r="D74" s="742"/>
      <c r="E74" s="743"/>
      <c r="F74" s="743"/>
      <c r="G74" s="168"/>
      <c r="H74" s="168"/>
      <c r="I74" s="211"/>
      <c r="J74" s="215"/>
      <c r="K74" s="215"/>
      <c r="L74" s="132">
        <f>ROUNDDOWN('税額計算（出力シート） '!R10*I74,-3)</f>
        <v>0</v>
      </c>
      <c r="M74" s="102">
        <f>IF(L74&lt;=10000000,L74*0.1,IF(L74&lt;=30000000,L74*0.15-500000,IF(L74&lt;=50000000,L74*0.2-2000000,IF(L74&lt;=100000000,L74*0.3-7000000,IF(L74&lt;=300000000,L74*0.4-17000000,L74*0.5-47000000)))))</f>
        <v>0</v>
      </c>
      <c r="O74" s="755"/>
      <c r="P74" s="757"/>
    </row>
    <row r="75" spans="1:16" ht="19.5" customHeight="1">
      <c r="B75" s="170"/>
      <c r="C75" s="167"/>
      <c r="D75" s="744"/>
      <c r="E75" s="745"/>
      <c r="F75" s="745"/>
      <c r="G75" s="169"/>
      <c r="H75" s="169"/>
      <c r="I75" s="212"/>
      <c r="J75" s="215"/>
      <c r="K75" s="215"/>
      <c r="L75" s="132">
        <f>ROUNDDOWN('税額計算（出力シート） '!R10*I75,-3)</f>
        <v>0</v>
      </c>
      <c r="M75" s="102">
        <f t="shared" ref="M75:M83" si="9">IF(L75&lt;=10000000,L75*0.1,IF(L75&lt;=30000000,L75*0.15-500000,IF(L75&lt;=50000000,L75*0.2-2000000,IF(L75&lt;=100000000,L75*0.3-7000000,IF(L75&lt;=300000000,L75*0.4-17000000,L75*0.5-47000000)))))</f>
        <v>0</v>
      </c>
      <c r="O75" s="754" t="s">
        <v>120</v>
      </c>
      <c r="P75" s="756">
        <v>20000000</v>
      </c>
    </row>
    <row r="76" spans="1:16" ht="19.5" customHeight="1" thickBot="1">
      <c r="B76" s="170"/>
      <c r="C76" s="167"/>
      <c r="D76" s="744"/>
      <c r="E76" s="745"/>
      <c r="F76" s="745"/>
      <c r="G76" s="169"/>
      <c r="H76" s="169"/>
      <c r="I76" s="212"/>
      <c r="J76" s="215"/>
      <c r="K76" s="215"/>
      <c r="L76" s="132">
        <f>ROUNDDOWN('税額計算（出力シート） '!R10*I76,-3)</f>
        <v>0</v>
      </c>
      <c r="M76" s="102">
        <f t="shared" si="9"/>
        <v>0</v>
      </c>
      <c r="O76" s="755"/>
      <c r="P76" s="757"/>
    </row>
    <row r="77" spans="1:16" ht="19.5" customHeight="1" thickBot="1">
      <c r="B77" s="170"/>
      <c r="C77" s="167"/>
      <c r="D77" s="744"/>
      <c r="E77" s="745"/>
      <c r="F77" s="745"/>
      <c r="G77" s="169"/>
      <c r="H77" s="169"/>
      <c r="I77" s="212"/>
      <c r="J77" s="215"/>
      <c r="K77" s="215"/>
      <c r="L77" s="132">
        <f>ROUNDDOWN('税額計算（出力シート） '!R10*I77,-3)</f>
        <v>0</v>
      </c>
      <c r="M77" s="102">
        <f t="shared" si="9"/>
        <v>0</v>
      </c>
      <c r="O77" s="129" t="s">
        <v>121</v>
      </c>
      <c r="P77" s="174">
        <v>7</v>
      </c>
    </row>
    <row r="78" spans="1:16" ht="19.5" customHeight="1">
      <c r="B78" s="170"/>
      <c r="C78" s="167"/>
      <c r="D78" s="744"/>
      <c r="E78" s="745"/>
      <c r="F78" s="745"/>
      <c r="G78" s="169"/>
      <c r="H78" s="169"/>
      <c r="I78" s="212"/>
      <c r="J78" s="215"/>
      <c r="K78" s="215"/>
      <c r="L78" s="132">
        <f>ROUNDDOWN('税額計算（出力シート） '!R10*I78,-3)</f>
        <v>0</v>
      </c>
      <c r="M78" s="102">
        <f t="shared" si="9"/>
        <v>0</v>
      </c>
      <c r="N78" s="161"/>
      <c r="O78" s="163"/>
    </row>
    <row r="79" spans="1:16" ht="19.5" customHeight="1">
      <c r="B79" s="170"/>
      <c r="C79" s="167"/>
      <c r="D79" s="744"/>
      <c r="E79" s="745"/>
      <c r="F79" s="745"/>
      <c r="G79" s="169"/>
      <c r="H79" s="169"/>
      <c r="I79" s="212"/>
      <c r="J79" s="215"/>
      <c r="K79" s="215"/>
      <c r="L79" s="132">
        <f>ROUNDDOWN('税額計算（出力シート） '!R10*I79,-3)</f>
        <v>0</v>
      </c>
      <c r="M79" s="102">
        <f t="shared" si="9"/>
        <v>0</v>
      </c>
      <c r="N79" s="161"/>
      <c r="O79" s="163"/>
    </row>
    <row r="80" spans="1:16" ht="19.5" customHeight="1">
      <c r="B80" s="170"/>
      <c r="C80" s="167"/>
      <c r="D80" s="748"/>
      <c r="E80" s="749"/>
      <c r="F80" s="750"/>
      <c r="G80" s="169"/>
      <c r="H80" s="169"/>
      <c r="I80" s="212"/>
      <c r="J80" s="215"/>
      <c r="K80" s="215"/>
      <c r="L80" s="132">
        <f>ROUNDDOWN('税額計算（出力シート） '!R10*I80,-3)</f>
        <v>0</v>
      </c>
      <c r="M80" s="102">
        <f t="shared" si="9"/>
        <v>0</v>
      </c>
      <c r="N80" s="161"/>
      <c r="O80" s="163"/>
    </row>
    <row r="81" spans="1:15" ht="19.5" customHeight="1">
      <c r="B81" s="170"/>
      <c r="C81" s="167"/>
      <c r="D81" s="744"/>
      <c r="E81" s="745"/>
      <c r="F81" s="745"/>
      <c r="G81" s="169"/>
      <c r="H81" s="169"/>
      <c r="I81" s="212"/>
      <c r="J81" s="215"/>
      <c r="K81" s="215"/>
      <c r="L81" s="132">
        <f>ROUNDDOWN('税額計算（出力シート） '!R10*I81,-3)</f>
        <v>0</v>
      </c>
      <c r="M81" s="102">
        <f t="shared" si="9"/>
        <v>0</v>
      </c>
      <c r="N81" s="161"/>
      <c r="O81" s="163"/>
    </row>
    <row r="82" spans="1:15" ht="19.5" customHeight="1">
      <c r="B82" s="170"/>
      <c r="C82" s="167"/>
      <c r="D82" s="744"/>
      <c r="E82" s="745"/>
      <c r="F82" s="745"/>
      <c r="G82" s="169"/>
      <c r="H82" s="169"/>
      <c r="I82" s="212"/>
      <c r="J82" s="215"/>
      <c r="K82" s="215"/>
      <c r="L82" s="132">
        <f>ROUNDDOWN('税額計算（出力シート） '!R10*I82,-3)</f>
        <v>0</v>
      </c>
      <c r="M82" s="102">
        <f t="shared" si="9"/>
        <v>0</v>
      </c>
      <c r="N82" s="161"/>
      <c r="O82" s="163"/>
    </row>
    <row r="83" spans="1:15" ht="19.5" customHeight="1">
      <c r="B83" s="171"/>
      <c r="C83" s="167"/>
      <c r="D83" s="744"/>
      <c r="E83" s="745"/>
      <c r="F83" s="745"/>
      <c r="G83" s="169"/>
      <c r="H83" s="169"/>
      <c r="I83" s="212"/>
      <c r="J83" s="215"/>
      <c r="K83" s="215"/>
      <c r="L83" s="132">
        <f>ROUNDDOWN('税額計算（出力シート） '!R10*I83,-3)</f>
        <v>0</v>
      </c>
      <c r="M83" s="102">
        <f t="shared" si="9"/>
        <v>0</v>
      </c>
      <c r="N83" s="161"/>
      <c r="O83" s="163"/>
    </row>
    <row r="84" spans="1:15" ht="19.5" customHeight="1">
      <c r="B84" s="170"/>
      <c r="C84" s="167"/>
      <c r="D84" s="744"/>
      <c r="E84" s="745"/>
      <c r="F84" s="745"/>
      <c r="G84" s="172"/>
      <c r="H84" s="172"/>
      <c r="I84" s="213"/>
      <c r="J84" s="228"/>
      <c r="K84" s="227"/>
      <c r="L84" s="229">
        <f>ROUNDDOWN('税額計算（出力シート） '!R10*I84,-3)</f>
        <v>0</v>
      </c>
      <c r="M84" s="102">
        <f>IF(L84&lt;=10000000,L84*0.1,IF(L84&lt;=30000000,L84*0.15-500000,IF(L84&lt;=50000000,L84*0.2-2000000,IF(L84&lt;=100000000,L84*0.3-7000000,IF(L84&lt;=300000000,L84*0.4-17000000,L84*0.5-47000000)))))</f>
        <v>0</v>
      </c>
      <c r="N84" s="161"/>
      <c r="O84" s="163"/>
    </row>
    <row r="85" spans="1:15" ht="19.5" customHeight="1">
      <c r="B85" s="232"/>
      <c r="C85" s="167"/>
      <c r="D85" s="239"/>
      <c r="E85" s="238"/>
      <c r="F85" s="237"/>
      <c r="G85" s="172"/>
      <c r="H85" s="172"/>
      <c r="I85" s="213"/>
      <c r="J85" s="233"/>
      <c r="K85" s="234"/>
      <c r="L85" s="229">
        <f>ROUNDDOWN('税額計算（出力シート） '!R10*I85,-3)</f>
        <v>0</v>
      </c>
      <c r="M85" s="103">
        <f>IF(L85&lt;=10000000,L85*0.1,IF(L85&lt;=30000000,L85*0.15-500000,IF(L85&lt;=50000000,L85*0.2-2000000,IF(L85&lt;=100000000,L85*0.3-7000000,IF(L85&lt;=300000000,L85*0.4-17000000,L85*0.5-47000000)))))</f>
        <v>0</v>
      </c>
      <c r="N85" s="161"/>
      <c r="O85" s="163"/>
    </row>
    <row r="86" spans="1:15" ht="19.5" customHeight="1">
      <c r="A86" s="236"/>
      <c r="B86" s="170"/>
      <c r="C86" s="257"/>
      <c r="D86" s="225"/>
      <c r="E86" s="226"/>
      <c r="F86" s="237"/>
      <c r="G86" s="172"/>
      <c r="H86" s="172"/>
      <c r="I86" s="213"/>
      <c r="J86" s="233"/>
      <c r="K86" s="234"/>
      <c r="L86" s="229">
        <f>ROUNDDOWN('税額計算（出力シート） '!R10*I86,-3)</f>
        <v>0</v>
      </c>
      <c r="M86" s="235">
        <f>IF(L86&lt;=10000000,L86*0.1,IF(L86&lt;=30000000,L86*0.15-500000,IF(L86&lt;=50000000,L86*0.2-2000000,IF(L86&lt;=100000000,L86*0.3-7000000,IF(L86&lt;=300000000,L86*0.4-17000000,L86*0.5-47000000)))))</f>
        <v>0</v>
      </c>
      <c r="N86" s="161"/>
      <c r="O86" s="163"/>
    </row>
    <row r="87" spans="1:15" ht="19.5" customHeight="1" thickBot="1">
      <c r="A87" s="236"/>
      <c r="B87" s="170"/>
      <c r="C87" s="256"/>
      <c r="D87" s="239"/>
      <c r="E87" s="238"/>
      <c r="F87" s="237"/>
      <c r="G87" s="172"/>
      <c r="H87" s="172"/>
      <c r="I87" s="213"/>
      <c r="J87" s="233"/>
      <c r="K87" s="234"/>
      <c r="L87" s="264">
        <f>ROUNDDOWN('税額計算（出力シート） '!R10*I87,-3)</f>
        <v>0</v>
      </c>
      <c r="M87" s="105">
        <f>IF(L87&lt;=10000000,L87*0.1,IF(L87&lt;=30000000,L87*0.15-500000,IF(L87&lt;=50000000,L87*0.2-2000000,IF(L87&lt;=100000000,L87*0.3-7000000,IF(L87&lt;=300000000,L87*0.4-17000000,L87*0.5-47000000)))))</f>
        <v>0</v>
      </c>
      <c r="N87" s="161"/>
      <c r="O87" s="163"/>
    </row>
    <row r="88" spans="1:15" ht="19.5" customHeight="1" thickBot="1">
      <c r="B88" s="136" t="s">
        <v>72</v>
      </c>
      <c r="C88" s="148"/>
      <c r="D88" s="760"/>
      <c r="E88" s="761"/>
      <c r="F88" s="761"/>
      <c r="G88" s="173"/>
      <c r="H88" s="173"/>
      <c r="I88" s="231">
        <f>SUM(I74:I87)</f>
        <v>0</v>
      </c>
      <c r="J88" s="216"/>
      <c r="K88" s="216"/>
      <c r="L88" s="133">
        <f>SUM(L74:L87)</f>
        <v>0</v>
      </c>
      <c r="M88" s="134">
        <f>ROUNDDOWN(SUM(M74:M87),-2)</f>
        <v>0</v>
      </c>
      <c r="N88" s="164"/>
      <c r="O88" s="164"/>
    </row>
    <row r="89" spans="1:15" ht="39.75" customHeight="1" thickBot="1">
      <c r="B89" s="751" t="s">
        <v>108</v>
      </c>
      <c r="C89" s="751"/>
      <c r="D89" s="751"/>
      <c r="E89" s="751"/>
      <c r="F89" s="144"/>
      <c r="G89" s="144"/>
      <c r="H89" s="144"/>
      <c r="I89" s="144"/>
      <c r="J89" s="144"/>
      <c r="K89" s="144"/>
      <c r="L89" s="144"/>
      <c r="M89" s="144"/>
      <c r="N89" s="144"/>
      <c r="O89" s="144"/>
    </row>
    <row r="90" spans="1:15" s="154" customFormat="1" ht="19.5" customHeight="1" thickBot="1">
      <c r="B90" s="131" t="s">
        <v>67</v>
      </c>
      <c r="C90" s="157"/>
      <c r="D90" s="758" t="s">
        <v>68</v>
      </c>
      <c r="E90" s="759"/>
      <c r="F90" s="759"/>
      <c r="G90" s="135" t="s">
        <v>69</v>
      </c>
      <c r="H90" s="135" t="s">
        <v>70</v>
      </c>
      <c r="I90" s="230" t="s">
        <v>71</v>
      </c>
      <c r="J90" s="214"/>
      <c r="K90" s="214"/>
      <c r="L90" s="130" t="s">
        <v>73</v>
      </c>
      <c r="M90" s="131" t="s">
        <v>74</v>
      </c>
      <c r="N90" s="166"/>
      <c r="O90" s="166"/>
    </row>
    <row r="91" spans="1:15" ht="19.5" customHeight="1">
      <c r="B91" s="177"/>
      <c r="C91" s="167"/>
      <c r="D91" s="742"/>
      <c r="E91" s="743"/>
      <c r="F91" s="743"/>
      <c r="G91" s="168"/>
      <c r="H91" s="168"/>
      <c r="I91" s="211"/>
      <c r="J91" s="215"/>
      <c r="K91" s="215"/>
      <c r="L91" s="132">
        <f>ROUNDDOWN('税額計算（出力シート） '!Q10*I91,-3)</f>
        <v>0</v>
      </c>
      <c r="M91" s="102">
        <f>IF(L91&lt;=10000000,L91*0.1,IF(L91&lt;=30000000,L91*0.15-500000,IF(L91&lt;=50000000,L91*0.2-2000000,IF(L91&lt;=100000000,L91*0.3-7000000,IF(L91&lt;=300000000,L91*0.4-17000000,L91*0.5-47000000)))))</f>
        <v>0</v>
      </c>
      <c r="N91" s="161"/>
      <c r="O91" s="163"/>
    </row>
    <row r="92" spans="1:15" ht="19.5" customHeight="1">
      <c r="B92" s="170"/>
      <c r="C92" s="167"/>
      <c r="D92" s="744"/>
      <c r="E92" s="745"/>
      <c r="F92" s="745"/>
      <c r="G92" s="169"/>
      <c r="H92" s="169"/>
      <c r="I92" s="212"/>
      <c r="J92" s="215"/>
      <c r="K92" s="215"/>
      <c r="L92" s="132">
        <f>ROUNDDOWN('税額計算（出力シート） '!Q10*I92,-3)</f>
        <v>0</v>
      </c>
      <c r="M92" s="102">
        <f t="shared" ref="M92:M100" si="10">IF(L92&lt;=10000000,L92*0.1,IF(L92&lt;=30000000,L92*0.15-500000,IF(L92&lt;=50000000,L92*0.2-2000000,IF(L92&lt;=100000000,L92*0.3-7000000,IF(L92&lt;=300000000,L92*0.4-17000000,L92*0.5-47000000)))))</f>
        <v>0</v>
      </c>
      <c r="N92" s="161"/>
      <c r="O92" s="163"/>
    </row>
    <row r="93" spans="1:15" ht="19.5" customHeight="1">
      <c r="B93" s="170"/>
      <c r="C93" s="167"/>
      <c r="D93" s="744"/>
      <c r="E93" s="745"/>
      <c r="F93" s="745"/>
      <c r="G93" s="169"/>
      <c r="H93" s="169"/>
      <c r="I93" s="212"/>
      <c r="J93" s="215"/>
      <c r="K93" s="215"/>
      <c r="L93" s="132">
        <f>ROUNDDOWN('税額計算（出力シート） '!Q10*I93,-3)</f>
        <v>0</v>
      </c>
      <c r="M93" s="102">
        <f t="shared" si="10"/>
        <v>0</v>
      </c>
      <c r="N93" s="161"/>
      <c r="O93" s="163"/>
    </row>
    <row r="94" spans="1:15" ht="19.5" customHeight="1">
      <c r="B94" s="170"/>
      <c r="C94" s="167"/>
      <c r="D94" s="744"/>
      <c r="E94" s="745"/>
      <c r="F94" s="745"/>
      <c r="G94" s="169"/>
      <c r="H94" s="169"/>
      <c r="I94" s="212"/>
      <c r="J94" s="215"/>
      <c r="K94" s="215"/>
      <c r="L94" s="132">
        <f>ROUNDDOWN('税額計算（出力シート） '!Q10*I94,-3)</f>
        <v>0</v>
      </c>
      <c r="M94" s="102">
        <f t="shared" si="10"/>
        <v>0</v>
      </c>
      <c r="N94" s="161"/>
      <c r="O94" s="163"/>
    </row>
    <row r="95" spans="1:15" ht="19.5" customHeight="1">
      <c r="B95" s="170"/>
      <c r="C95" s="167"/>
      <c r="D95" s="744"/>
      <c r="E95" s="745"/>
      <c r="F95" s="745"/>
      <c r="G95" s="169"/>
      <c r="H95" s="169"/>
      <c r="I95" s="212"/>
      <c r="J95" s="215"/>
      <c r="K95" s="215"/>
      <c r="L95" s="132">
        <f>ROUNDDOWN('税額計算（出力シート） '!Q10*I95,-3)</f>
        <v>0</v>
      </c>
      <c r="M95" s="102">
        <f t="shared" si="10"/>
        <v>0</v>
      </c>
      <c r="N95" s="161"/>
      <c r="O95" s="163"/>
    </row>
    <row r="96" spans="1:15" ht="19.5" customHeight="1">
      <c r="B96" s="170"/>
      <c r="C96" s="167"/>
      <c r="D96" s="744"/>
      <c r="E96" s="745"/>
      <c r="F96" s="745"/>
      <c r="G96" s="169"/>
      <c r="H96" s="169"/>
      <c r="I96" s="212"/>
      <c r="J96" s="215"/>
      <c r="K96" s="215"/>
      <c r="L96" s="132">
        <f>ROUNDDOWN('税額計算（出力シート） '!Q10*I96,-3)</f>
        <v>0</v>
      </c>
      <c r="M96" s="102">
        <f t="shared" si="10"/>
        <v>0</v>
      </c>
      <c r="N96" s="161"/>
      <c r="O96" s="163"/>
    </row>
    <row r="97" spans="1:15" ht="19.5" customHeight="1">
      <c r="B97" s="170"/>
      <c r="C97" s="167"/>
      <c r="D97" s="748"/>
      <c r="E97" s="749"/>
      <c r="F97" s="750"/>
      <c r="G97" s="169"/>
      <c r="H97" s="169"/>
      <c r="I97" s="212"/>
      <c r="J97" s="215"/>
      <c r="K97" s="215"/>
      <c r="L97" s="132">
        <f>ROUNDDOWN('税額計算（出力シート） '!Q10*I97,-3)</f>
        <v>0</v>
      </c>
      <c r="M97" s="102">
        <f t="shared" si="10"/>
        <v>0</v>
      </c>
      <c r="N97" s="161"/>
      <c r="O97" s="163"/>
    </row>
    <row r="98" spans="1:15" ht="19.5" customHeight="1">
      <c r="B98" s="170"/>
      <c r="C98" s="167"/>
      <c r="D98" s="744"/>
      <c r="E98" s="745"/>
      <c r="F98" s="745"/>
      <c r="G98" s="169"/>
      <c r="H98" s="169"/>
      <c r="I98" s="212"/>
      <c r="J98" s="215"/>
      <c r="K98" s="215"/>
      <c r="L98" s="132">
        <f>ROUNDDOWN('税額計算（出力シート） '!Q10*I98,-3)</f>
        <v>0</v>
      </c>
      <c r="M98" s="102">
        <f t="shared" si="10"/>
        <v>0</v>
      </c>
      <c r="N98" s="161"/>
      <c r="O98" s="163"/>
    </row>
    <row r="99" spans="1:15" ht="19.5" customHeight="1">
      <c r="B99" s="170"/>
      <c r="C99" s="167"/>
      <c r="D99" s="744"/>
      <c r="E99" s="745"/>
      <c r="F99" s="745"/>
      <c r="G99" s="169"/>
      <c r="H99" s="169"/>
      <c r="I99" s="212"/>
      <c r="J99" s="215"/>
      <c r="K99" s="215"/>
      <c r="L99" s="132">
        <f>ROUNDDOWN('税額計算（出力シート） '!Q10*I99,-3)</f>
        <v>0</v>
      </c>
      <c r="M99" s="102">
        <f t="shared" si="10"/>
        <v>0</v>
      </c>
      <c r="N99" s="161"/>
      <c r="O99" s="163"/>
    </row>
    <row r="100" spans="1:15" ht="19.5" customHeight="1">
      <c r="B100" s="171"/>
      <c r="C100" s="167"/>
      <c r="D100" s="744"/>
      <c r="E100" s="745"/>
      <c r="F100" s="745"/>
      <c r="G100" s="169"/>
      <c r="H100" s="169"/>
      <c r="I100" s="212"/>
      <c r="J100" s="215"/>
      <c r="K100" s="215"/>
      <c r="L100" s="132">
        <f>ROUNDDOWN('税額計算（出力シート） '!Q10*I100,-3)</f>
        <v>0</v>
      </c>
      <c r="M100" s="102">
        <f t="shared" si="10"/>
        <v>0</v>
      </c>
      <c r="N100" s="161"/>
      <c r="O100" s="163"/>
    </row>
    <row r="101" spans="1:15" ht="19.5" customHeight="1">
      <c r="A101" s="236"/>
      <c r="B101" s="241"/>
      <c r="C101" s="167"/>
      <c r="D101" s="744"/>
      <c r="E101" s="745"/>
      <c r="F101" s="745"/>
      <c r="G101" s="172"/>
      <c r="H101" s="172"/>
      <c r="I101" s="213"/>
      <c r="J101" s="228"/>
      <c r="K101" s="227"/>
      <c r="L101" s="132">
        <f>ROUNDDOWN('税額計算（出力シート） '!Q10*I101,-3)</f>
        <v>0</v>
      </c>
      <c r="M101" s="102">
        <f>IF(L101&lt;=10000000,L101*0.1,IF(L101&lt;=30000000,L101*0.15-500000,IF(L101&lt;=50000000,L101*0.2-2000000,IF(L101&lt;=100000000,L101*0.3-7000000,IF(L101&lt;=300000000,L101*0.4-17000000,L101*0.5-47000000)))))</f>
        <v>0</v>
      </c>
      <c r="N101" s="161"/>
      <c r="O101" s="163"/>
    </row>
    <row r="102" spans="1:15" ht="19.5" customHeight="1">
      <c r="A102" s="236"/>
      <c r="B102" s="170"/>
      <c r="C102" s="167"/>
      <c r="D102" s="239"/>
      <c r="E102" s="226"/>
      <c r="F102" s="237"/>
      <c r="G102" s="172"/>
      <c r="H102" s="172"/>
      <c r="I102" s="212"/>
      <c r="J102" s="228"/>
      <c r="K102" s="227"/>
      <c r="L102" s="132">
        <f>ROUNDDOWN('税額計算（出力シート） '!Q10*I102,-3)</f>
        <v>0</v>
      </c>
      <c r="M102" s="235">
        <f>IF(L102&lt;=10000000,L102*0.1,IF(L102&lt;=30000000,L102*0.15-500000,IF(L102&lt;=50000000,L102*0.2-2000000,IF(L102&lt;=100000000,L102*0.3-7000000,IF(L102&lt;=300000000,L102*0.4-17000000,L102*0.5-47000000)))))</f>
        <v>0</v>
      </c>
      <c r="N102" s="161"/>
      <c r="O102" s="163"/>
    </row>
    <row r="103" spans="1:15" ht="19.5" customHeight="1">
      <c r="B103" s="170"/>
      <c r="C103" s="167"/>
      <c r="D103" s="225"/>
      <c r="E103" s="226"/>
      <c r="F103" s="237"/>
      <c r="G103" s="172"/>
      <c r="H103" s="172"/>
      <c r="I103" s="213"/>
      <c r="J103" s="240"/>
      <c r="K103" s="227"/>
      <c r="L103" s="235">
        <f>ROUNDDOWN('税額計算（出力シート） '!Q10*I103,-3)</f>
        <v>0</v>
      </c>
      <c r="M103" s="242">
        <f>IF(L103&lt;=10000000,L103*0.1,IF(L103&lt;=30000000,L103*0.15-500000,IF(L103&lt;=50000000,L103*0.2-2000000,IF(L103&lt;=100000000,L103*0.3-7000000,IF(L103&lt;=300000000,L103*0.4-17000000,L103*0.5-47000000)))))</f>
        <v>0</v>
      </c>
      <c r="N103" s="161"/>
      <c r="O103" s="163"/>
    </row>
    <row r="104" spans="1:15" ht="19.5" customHeight="1" thickBot="1">
      <c r="A104" s="236"/>
      <c r="B104" s="171"/>
      <c r="C104" s="167"/>
      <c r="D104" s="239"/>
      <c r="E104" s="238"/>
      <c r="F104" s="237"/>
      <c r="G104" s="172"/>
      <c r="H104" s="172"/>
      <c r="I104" s="212"/>
      <c r="J104" s="228"/>
      <c r="K104" s="227"/>
      <c r="L104" s="235">
        <f>ROUNDDOWN('税額計算（出力シート） '!Q10*I104,-3)</f>
        <v>0</v>
      </c>
      <c r="M104" s="242">
        <f>IF(L104&lt;=10000000,L104*0.1,IF(L104&lt;=30000000,L104*0.15-500000,IF(L104&lt;=50000000,L104*0.2-2000000,IF(L104&lt;=100000000,L104*0.3-7000000,IF(L104&lt;=300000000,L104*0.4-17000000,L104*0.5-47000000)))))</f>
        <v>0</v>
      </c>
      <c r="N104" s="161"/>
      <c r="O104" s="163"/>
    </row>
    <row r="105" spans="1:15" ht="19.5" customHeight="1" thickBot="1">
      <c r="B105" s="136" t="s">
        <v>72</v>
      </c>
      <c r="C105" s="148"/>
      <c r="D105" s="760"/>
      <c r="E105" s="761"/>
      <c r="F105" s="761"/>
      <c r="G105" s="173"/>
      <c r="H105" s="173"/>
      <c r="I105" s="231">
        <f>SUM(I91:I104)</f>
        <v>0</v>
      </c>
      <c r="J105" s="216"/>
      <c r="K105" s="216"/>
      <c r="L105" s="133">
        <f>SUM(L91:L104)</f>
        <v>0</v>
      </c>
      <c r="M105" s="134">
        <f>ROUNDDOWN(SUM(M91:M104),-2)</f>
        <v>0</v>
      </c>
      <c r="N105" s="164"/>
      <c r="O105" s="164"/>
    </row>
  </sheetData>
  <sheetProtection password="E915" sheet="1" objects="1" scenarios="1"/>
  <mergeCells count="74">
    <mergeCell ref="I2:J2"/>
    <mergeCell ref="D97:F97"/>
    <mergeCell ref="D74:F74"/>
    <mergeCell ref="D84:F84"/>
    <mergeCell ref="D88:F88"/>
    <mergeCell ref="D81:F81"/>
    <mergeCell ref="D82:F82"/>
    <mergeCell ref="D71:F71"/>
    <mergeCell ref="D66:F66"/>
    <mergeCell ref="D77:F77"/>
    <mergeCell ref="D83:F83"/>
    <mergeCell ref="D94:F94"/>
    <mergeCell ref="D96:F96"/>
    <mergeCell ref="D95:F95"/>
    <mergeCell ref="D90:F90"/>
    <mergeCell ref="D75:F75"/>
    <mergeCell ref="D105:F105"/>
    <mergeCell ref="D98:F98"/>
    <mergeCell ref="D99:F99"/>
    <mergeCell ref="D100:F100"/>
    <mergeCell ref="D101:F101"/>
    <mergeCell ref="O72:P72"/>
    <mergeCell ref="O73:O74"/>
    <mergeCell ref="P73:P74"/>
    <mergeCell ref="D73:F73"/>
    <mergeCell ref="P75:P76"/>
    <mergeCell ref="B72:E72"/>
    <mergeCell ref="O75:O76"/>
    <mergeCell ref="D91:F91"/>
    <mergeCell ref="D92:F92"/>
    <mergeCell ref="D93:F93"/>
    <mergeCell ref="D69:F69"/>
    <mergeCell ref="D70:F70"/>
    <mergeCell ref="D78:F78"/>
    <mergeCell ref="D79:F79"/>
    <mergeCell ref="D80:F80"/>
    <mergeCell ref="B89:E89"/>
    <mergeCell ref="D76:F76"/>
    <mergeCell ref="O55:P55"/>
    <mergeCell ref="D64:F64"/>
    <mergeCell ref="D68:F68"/>
    <mergeCell ref="D67:F67"/>
    <mergeCell ref="B55:F55"/>
    <mergeCell ref="D58:F58"/>
    <mergeCell ref="D61:F61"/>
    <mergeCell ref="D62:F62"/>
    <mergeCell ref="D63:F63"/>
    <mergeCell ref="D57:F57"/>
    <mergeCell ref="R6:R7"/>
    <mergeCell ref="B28:B29"/>
    <mergeCell ref="B16:B17"/>
    <mergeCell ref="B18:B19"/>
    <mergeCell ref="B6:B7"/>
    <mergeCell ref="B24:B25"/>
    <mergeCell ref="B20:B21"/>
    <mergeCell ref="B22:B23"/>
    <mergeCell ref="B26:B27"/>
    <mergeCell ref="B10:B11"/>
    <mergeCell ref="B2:F3"/>
    <mergeCell ref="I1:J1"/>
    <mergeCell ref="I3:J3"/>
    <mergeCell ref="I4:J4"/>
    <mergeCell ref="D65:F65"/>
    <mergeCell ref="B12:B13"/>
    <mergeCell ref="D59:F59"/>
    <mergeCell ref="D60:F60"/>
    <mergeCell ref="B14:B15"/>
    <mergeCell ref="B45:B46"/>
    <mergeCell ref="B36:B37"/>
    <mergeCell ref="B42:B43"/>
    <mergeCell ref="B38:B39"/>
    <mergeCell ref="B30:B31"/>
    <mergeCell ref="B34:B35"/>
    <mergeCell ref="B32:B33"/>
  </mergeCells>
  <phoneticPr fontId="2"/>
  <printOptions horizontalCentered="1"/>
  <pageMargins left="0" right="0" top="0" bottom="0" header="0" footer="0"/>
  <pageSetup paperSize="8" scale="44" orientation="portrait" verticalDpi="0" r:id="rId1"/>
  <headerFooter alignWithMargins="0"/>
  <ignoredErrors>
    <ignoredError sqref="L58:L69" formula="1"/>
  </ignoredErrors>
  <legacyDrawing r:id="rId2"/>
</worksheet>
</file>

<file path=xl/worksheets/sheet2.xml><?xml version="1.0" encoding="utf-8"?>
<worksheet xmlns="http://schemas.openxmlformats.org/spreadsheetml/2006/main" xmlns:r="http://schemas.openxmlformats.org/officeDocument/2006/relationships">
  <sheetPr codeName="Sheet13">
    <pageSetUpPr fitToPage="1"/>
  </sheetPr>
  <dimension ref="A1:AE50"/>
  <sheetViews>
    <sheetView zoomScale="60" zoomScaleNormal="60" zoomScaleSheetLayoutView="50" zoomScalePageLayoutView="60" workbookViewId="0">
      <selection activeCell="D27" sqref="D27"/>
    </sheetView>
  </sheetViews>
  <sheetFormatPr defaultColWidth="12.625" defaultRowHeight="19.5" customHeight="1"/>
  <cols>
    <col min="1" max="1" width="1.75" style="4" customWidth="1"/>
    <col min="2" max="2" width="27.875" style="4" customWidth="1"/>
    <col min="3" max="3" width="1" style="4" customWidth="1"/>
    <col min="4" max="4" width="21.875" style="4" customWidth="1"/>
    <col min="5" max="10" width="21.25" style="4" customWidth="1"/>
    <col min="11" max="11" width="21" style="4" customWidth="1"/>
    <col min="12" max="18" width="21.25" style="4" customWidth="1"/>
    <col min="19" max="31" width="8" style="4" customWidth="1"/>
    <col min="32" max="16384" width="12.625" style="4"/>
  </cols>
  <sheetData>
    <row r="1" spans="2:30" ht="19.5" customHeight="1">
      <c r="B1" s="774" t="s">
        <v>697</v>
      </c>
      <c r="C1" s="774"/>
      <c r="D1" s="774"/>
      <c r="E1" s="774"/>
      <c r="F1" s="774"/>
      <c r="G1" s="774"/>
      <c r="H1" s="775"/>
      <c r="I1" s="775"/>
      <c r="J1" s="775"/>
      <c r="K1" s="1"/>
      <c r="L1" s="1"/>
      <c r="M1" s="1"/>
      <c r="N1" s="1"/>
      <c r="O1" s="1"/>
      <c r="P1" s="1"/>
      <c r="Q1" s="1"/>
      <c r="R1" s="1"/>
      <c r="S1" s="2"/>
      <c r="T1" s="3"/>
      <c r="U1" s="3"/>
      <c r="V1" s="3"/>
      <c r="W1" s="3"/>
      <c r="X1" s="3"/>
      <c r="Y1" s="3"/>
      <c r="Z1" s="3"/>
      <c r="AA1" s="3"/>
      <c r="AB1" s="3"/>
    </row>
    <row r="2" spans="2:30" ht="19.5" customHeight="1">
      <c r="B2" s="774"/>
      <c r="C2" s="774"/>
      <c r="D2" s="774"/>
      <c r="E2" s="774"/>
      <c r="F2" s="774"/>
      <c r="G2" s="774"/>
      <c r="H2" s="5"/>
      <c r="I2" s="5"/>
      <c r="J2" s="5"/>
      <c r="K2" s="1"/>
      <c r="L2" s="1"/>
      <c r="M2" s="1"/>
      <c r="N2" s="1"/>
      <c r="O2" s="1"/>
      <c r="P2" s="1"/>
      <c r="Q2" s="1"/>
      <c r="R2" s="6"/>
      <c r="S2" s="2"/>
      <c r="T2" s="3"/>
      <c r="U2" s="3"/>
      <c r="V2" s="3"/>
      <c r="W2" s="3"/>
      <c r="X2" s="3"/>
      <c r="Y2" s="3"/>
      <c r="Z2" s="3"/>
      <c r="AA2" s="3"/>
      <c r="AB2" s="3"/>
    </row>
    <row r="3" spans="2:30" ht="19.5" customHeight="1" thickBot="1">
      <c r="B3" s="7"/>
      <c r="C3" s="7"/>
      <c r="D3" s="7"/>
      <c r="E3" s="7"/>
      <c r="F3" s="2"/>
      <c r="G3" s="5"/>
      <c r="H3" s="5"/>
      <c r="I3" s="5"/>
      <c r="J3" s="5"/>
      <c r="K3" s="1"/>
      <c r="L3" s="1"/>
      <c r="M3" s="1"/>
      <c r="N3" s="1"/>
      <c r="O3" s="1"/>
      <c r="P3" s="1"/>
      <c r="Q3" s="1"/>
      <c r="R3" s="6"/>
      <c r="S3" s="2"/>
      <c r="T3" s="3"/>
      <c r="U3" s="3"/>
      <c r="V3" s="3"/>
      <c r="W3" s="3"/>
      <c r="X3" s="3"/>
      <c r="Y3" s="3"/>
      <c r="Z3" s="3"/>
      <c r="AA3" s="3"/>
      <c r="AB3" s="3"/>
    </row>
    <row r="4" spans="2:30" ht="19.5" customHeight="1" thickBot="1">
      <c r="B4" s="258" t="s">
        <v>491</v>
      </c>
      <c r="C4" s="1"/>
      <c r="D4" s="8" t="str">
        <f>'財産集計（入力シート） '!D6</f>
        <v>配  偶  者</v>
      </c>
      <c r="E4" s="8" t="str">
        <f>'財産集計（入力シート） '!E6</f>
        <v>扶養・特例非上場株</v>
      </c>
      <c r="F4" s="8" t="str">
        <f>'財産集計（入力シート） '!F6</f>
        <v>未　成　年　者</v>
      </c>
      <c r="G4" s="8" t="str">
        <f>'財産集計（入力シート） '!G6</f>
        <v>障　害　者</v>
      </c>
      <c r="H4" s="8" t="str">
        <f>'財産集計（入力シート） '!H6</f>
        <v>二　割　加　算　者</v>
      </c>
      <c r="I4" s="8" t="str">
        <f>'財産集計（入力シート） '!I6</f>
        <v>一 般 (子)</v>
      </c>
      <c r="J4" s="8" t="str">
        <f>'財産集計（入力シート） '!L6</f>
        <v>一  般　(子・親)</v>
      </c>
      <c r="K4" s="8" t="str">
        <f>'財産集計（入力シート） '!K6</f>
        <v>一 般 (子)</v>
      </c>
      <c r="L4" s="8" t="str">
        <f>'財産集計（入力シート） '!L6</f>
        <v>一  般　(子・親)</v>
      </c>
      <c r="M4" s="8" t="str">
        <f>'財産集計（入力シート） '!M6</f>
        <v>一  般　(子・親)</v>
      </c>
      <c r="N4" s="224" t="str">
        <f>'財産集計（入力シート） '!N6</f>
        <v>一般(子・兄弟姉妹)</v>
      </c>
      <c r="O4" s="224" t="str">
        <f>'財産集計（入力シート） '!O6</f>
        <v>一般(子・兄弟姉妹)</v>
      </c>
      <c r="P4" s="224" t="str">
        <f>'財産集計（入力シート） '!P6</f>
        <v>一般(子・兄弟姉妹)</v>
      </c>
      <c r="Q4" s="8" t="str">
        <f>'財産集計（入力シート） '!Q6</f>
        <v>一般(子・兄弟姉妹)</v>
      </c>
      <c r="R4" s="767" t="s">
        <v>27</v>
      </c>
      <c r="S4" s="9"/>
      <c r="T4" s="9"/>
      <c r="U4" s="9"/>
      <c r="V4" s="9"/>
      <c r="W4" s="9"/>
      <c r="X4" s="9"/>
      <c r="Y4" s="9"/>
      <c r="Z4" s="9"/>
      <c r="AA4" s="10"/>
      <c r="AB4" s="10"/>
    </row>
    <row r="5" spans="2:30" ht="41.25" customHeight="1" thickBot="1">
      <c r="B5" s="11" t="s">
        <v>7</v>
      </c>
      <c r="C5" s="12"/>
      <c r="D5" s="139" t="str">
        <f>'財産集計（入力シート） '!D7</f>
        <v>小林洋子</v>
      </c>
      <c r="E5" s="13" t="str">
        <f>'財産集計（入力シート） '!E7</f>
        <v>小林智子</v>
      </c>
      <c r="F5" s="139" t="str">
        <f>'財産集計（入力シート） '!F7</f>
        <v>小林尊琉</v>
      </c>
      <c r="G5" s="13" t="str">
        <f>'財産集計（入力シート） '!G7</f>
        <v>小林二郎</v>
      </c>
      <c r="H5" s="13" t="str">
        <f>'財産集計（入力シート） '!H7</f>
        <v>佐藤英理</v>
      </c>
      <c r="I5" s="13" t="str">
        <f>'財産集計（入力シート） '!I7</f>
        <v>小林　円</v>
      </c>
      <c r="J5" s="13">
        <f>'財産集計（入力シート） '!J7</f>
        <v>0</v>
      </c>
      <c r="K5" s="13">
        <f>'財産集計（入力シート） '!K7</f>
        <v>0</v>
      </c>
      <c r="L5" s="13">
        <f>'財産集計（入力シート） '!L7</f>
        <v>0</v>
      </c>
      <c r="M5" s="13">
        <f>'財産集計（入力シート） '!M7</f>
        <v>0</v>
      </c>
      <c r="N5" s="13">
        <f>'財産集計（入力シート） '!N7</f>
        <v>0</v>
      </c>
      <c r="O5" s="13">
        <f>'財産集計（入力シート） '!O7</f>
        <v>0</v>
      </c>
      <c r="P5" s="13">
        <f>'財産集計（入力シート） '!P7</f>
        <v>0</v>
      </c>
      <c r="Q5" s="13">
        <f>'財産集計（入力シート） '!Q7</f>
        <v>0</v>
      </c>
      <c r="R5" s="768"/>
      <c r="S5" s="10"/>
      <c r="T5" s="10"/>
      <c r="U5" s="10"/>
      <c r="V5" s="10"/>
      <c r="W5" s="10"/>
      <c r="X5" s="10"/>
      <c r="Y5" s="10"/>
      <c r="Z5" s="10"/>
      <c r="AA5" s="10"/>
      <c r="AB5" s="10"/>
      <c r="AC5" s="769"/>
      <c r="AD5" s="769"/>
    </row>
    <row r="6" spans="2:30" ht="39.75" customHeight="1" thickBot="1">
      <c r="B6" s="14" t="s">
        <v>88</v>
      </c>
      <c r="C6" s="15"/>
      <c r="D6" s="16">
        <f>ROUNDDOWN('財産集計（入力シート） '!D47*1,-3)</f>
        <v>399804000</v>
      </c>
      <c r="E6" s="16">
        <f>ROUNDDOWN('財産集計（入力シート） '!E47*1,-3)</f>
        <v>163000000</v>
      </c>
      <c r="F6" s="16">
        <f>ROUNDDOWN('財産集計（入力シート） '!F47*1,-3)</f>
        <v>357193000</v>
      </c>
      <c r="G6" s="16">
        <f>ROUNDDOWN('財産集計（入力シート） '!G47*1,-3)</f>
        <v>288260000</v>
      </c>
      <c r="H6" s="16">
        <f>ROUNDDOWN('財産集計（入力シート） '!H47*1,-3)</f>
        <v>73995000</v>
      </c>
      <c r="I6" s="16">
        <f>ROUNDDOWN('財産集計（入力シート） '!I47*1,-3)</f>
        <v>167654000</v>
      </c>
      <c r="J6" s="16">
        <f>ROUNDDOWN('財産集計（入力シート） '!J47*1,-3)</f>
        <v>0</v>
      </c>
      <c r="K6" s="16">
        <f>ROUNDDOWN('財産集計（入力シート） '!K47*1,-3)</f>
        <v>0</v>
      </c>
      <c r="L6" s="16">
        <f>ROUNDDOWN('財産集計（入力シート） '!L47*1,-3)</f>
        <v>0</v>
      </c>
      <c r="M6" s="16">
        <f>ROUNDDOWN('財産集計（入力シート） '!M47*1,-3)</f>
        <v>0</v>
      </c>
      <c r="N6" s="16">
        <f>ROUNDDOWN('財産集計（入力シート） '!N47*1,-3)</f>
        <v>0</v>
      </c>
      <c r="O6" s="16">
        <f>ROUNDDOWN('財産集計（入力シート） '!O47*1,-3)</f>
        <v>0</v>
      </c>
      <c r="P6" s="16">
        <f>ROUNDDOWN('財産集計（入力シート） '!P47*1,-3)</f>
        <v>0</v>
      </c>
      <c r="Q6" s="16">
        <f>ROUNDDOWN('財産集計（入力シート） '!Q47*1,-3)</f>
        <v>0</v>
      </c>
      <c r="R6" s="179">
        <f>SUM(D6:Q6)</f>
        <v>1449906000</v>
      </c>
      <c r="S6" s="771" t="s">
        <v>126</v>
      </c>
      <c r="T6" s="772"/>
      <c r="U6" s="772"/>
      <c r="V6" s="773"/>
      <c r="W6" s="18"/>
      <c r="X6" s="18"/>
      <c r="Y6" s="18"/>
      <c r="Z6" s="18"/>
      <c r="AA6" s="18"/>
      <c r="AB6" s="18"/>
      <c r="AC6" s="19"/>
      <c r="AD6" s="19"/>
    </row>
    <row r="7" spans="2:30" ht="39.75" customHeight="1" thickBot="1">
      <c r="B7" s="20" t="s">
        <v>94</v>
      </c>
      <c r="C7" s="15"/>
      <c r="D7" s="16">
        <f>IF(E7=0,0,D6)</f>
        <v>0</v>
      </c>
      <c r="E7" s="16">
        <f>IF('財産集計（入力シート） '!E41=0,0,ROUNDDOWN(('財産集計（入力シート） '!E41-('財産集計（入力シート） '!E42+'財産集計（入力シート） '!E43))*1,-3))</f>
        <v>0</v>
      </c>
      <c r="F7" s="16">
        <f>IF(E7=0,0,F6)</f>
        <v>0</v>
      </c>
      <c r="G7" s="16">
        <f>IF(E7=0,0,G6)</f>
        <v>0</v>
      </c>
      <c r="H7" s="16">
        <f>IF(E7=0,0,IF(H5='財産集計（入力シート） '!H7,ROUNDDOWN(('財産集計（入力シート） '!H41-('財産集計（入力シート） '!H42+'財産集計（入力シート） '!H43))*1,-3),H6))</f>
        <v>0</v>
      </c>
      <c r="I7" s="16">
        <f>IF(E7=0,0,I6)</f>
        <v>0</v>
      </c>
      <c r="J7" s="16">
        <f>IF(E7=0,0,J6)</f>
        <v>0</v>
      </c>
      <c r="K7" s="16">
        <f>IF(E7=0,0,K6)</f>
        <v>0</v>
      </c>
      <c r="L7" s="16">
        <f>IF(E7=0,0,L6)</f>
        <v>0</v>
      </c>
      <c r="M7" s="16">
        <f>IF(E7=0,0,M6)</f>
        <v>0</v>
      </c>
      <c r="N7" s="16">
        <f>IF(E7=0,0,N6)</f>
        <v>0</v>
      </c>
      <c r="O7" s="16">
        <f>IF(E7=0,0,O6)</f>
        <v>0</v>
      </c>
      <c r="P7" s="16">
        <f>IF(E7=0,0,P6)</f>
        <v>0</v>
      </c>
      <c r="Q7" s="16">
        <f>IF(E7=0,0,Q6)</f>
        <v>0</v>
      </c>
      <c r="R7" s="180">
        <f>SUM(D7:Q7)</f>
        <v>0</v>
      </c>
      <c r="S7" s="771" t="s">
        <v>133</v>
      </c>
      <c r="T7" s="772"/>
      <c r="U7" s="772"/>
      <c r="V7" s="773"/>
      <c r="W7" s="18"/>
      <c r="X7" s="18"/>
      <c r="Y7" s="18"/>
      <c r="Z7" s="18"/>
      <c r="AA7" s="18"/>
      <c r="AB7" s="18"/>
      <c r="AC7" s="19"/>
      <c r="AD7" s="19"/>
    </row>
    <row r="8" spans="2:30" ht="39.75" customHeight="1" thickBot="1">
      <c r="B8" s="14" t="s">
        <v>8</v>
      </c>
      <c r="C8" s="15"/>
      <c r="D8" s="21" t="s">
        <v>28</v>
      </c>
      <c r="E8" s="21" t="s">
        <v>29</v>
      </c>
      <c r="F8" s="22" t="s">
        <v>10</v>
      </c>
      <c r="G8" s="21" t="s">
        <v>30</v>
      </c>
      <c r="H8" s="21" t="s">
        <v>31</v>
      </c>
      <c r="I8" s="23"/>
      <c r="J8" s="24" t="s">
        <v>93</v>
      </c>
      <c r="K8" s="24" t="s">
        <v>81</v>
      </c>
      <c r="L8" s="24" t="s">
        <v>82</v>
      </c>
      <c r="M8" s="23"/>
      <c r="N8" s="23"/>
      <c r="O8" s="23"/>
      <c r="P8" s="23"/>
      <c r="Q8" s="23"/>
      <c r="R8" s="25">
        <f>50000000+10000000*H9</f>
        <v>100000000</v>
      </c>
      <c r="S8" s="771" t="s">
        <v>127</v>
      </c>
      <c r="T8" s="772"/>
      <c r="U8" s="772"/>
      <c r="V8" s="773"/>
      <c r="W8" s="26"/>
      <c r="X8" s="26"/>
      <c r="Y8" s="26"/>
      <c r="Z8" s="26"/>
      <c r="AA8" s="18"/>
      <c r="AB8" s="18"/>
    </row>
    <row r="9" spans="2:30" ht="38.25" customHeight="1" thickBot="1">
      <c r="B9" s="14" t="s">
        <v>9</v>
      </c>
      <c r="C9" s="15"/>
      <c r="D9" s="21">
        <f>'財産集計（入力シート） '!P56</f>
        <v>1</v>
      </c>
      <c r="E9" s="21">
        <f>'財産集計（入力シート） '!P57</f>
        <v>4</v>
      </c>
      <c r="F9" s="22">
        <f>'財産集計（入力シート） '!P58</f>
        <v>0</v>
      </c>
      <c r="G9" s="21">
        <f>'財産集計（入力シート） '!P59</f>
        <v>0</v>
      </c>
      <c r="H9" s="27">
        <f>IF(COUNTIF(J9:L9,"=-1")&lt;&gt;0,"ERROR",SUM(D9:G9))</f>
        <v>5</v>
      </c>
      <c r="I9" s="23"/>
      <c r="J9" s="23">
        <f>IF((D9&lt;0)+(E9&lt;0)+(F9&lt;0)+(G9&lt;0),-1,0)</f>
        <v>0</v>
      </c>
      <c r="K9" s="23">
        <f>IF((D9&gt;1)+(F9&gt;2),-1,0)</f>
        <v>0</v>
      </c>
      <c r="L9" s="23">
        <f>IF(COUNTIF(E9:G9,"&gt;0")&gt;1,-1,0)</f>
        <v>0</v>
      </c>
      <c r="M9" s="23"/>
      <c r="N9" s="219"/>
      <c r="O9" s="217"/>
      <c r="P9" s="178" t="s">
        <v>140</v>
      </c>
      <c r="Q9" s="178" t="s">
        <v>124</v>
      </c>
      <c r="R9" s="28">
        <f>IF(R6-R8&lt;=0,0,R6-R8)</f>
        <v>1349906000</v>
      </c>
      <c r="S9" s="771" t="s">
        <v>125</v>
      </c>
      <c r="T9" s="772"/>
      <c r="U9" s="772"/>
      <c r="V9" s="773"/>
      <c r="W9" s="29"/>
      <c r="X9" s="29"/>
      <c r="Y9" s="29"/>
      <c r="Z9" s="29"/>
      <c r="AA9" s="18"/>
      <c r="AB9" s="18"/>
    </row>
    <row r="10" spans="2:30" ht="39.75" customHeight="1" thickBot="1">
      <c r="B10" s="274" t="s">
        <v>98</v>
      </c>
      <c r="C10" s="15"/>
      <c r="D10" s="30"/>
      <c r="E10" s="31"/>
      <c r="F10" s="31"/>
      <c r="G10" s="31"/>
      <c r="H10" s="32"/>
      <c r="I10" s="23"/>
      <c r="J10" s="23"/>
      <c r="K10" s="23"/>
      <c r="L10" s="23"/>
      <c r="M10" s="23"/>
      <c r="N10" s="219"/>
      <c r="O10" s="218"/>
      <c r="P10" s="33">
        <f>IF(H7&gt;0,R7-H7,R7-E7)</f>
        <v>0</v>
      </c>
      <c r="Q10" s="33">
        <f>IF(H7&gt;0,ROUNDDOWN(H7*0.2,0)+R10-H7,ROUNDDOWN(E7*0.2,0)+R10-E7)</f>
        <v>0</v>
      </c>
      <c r="R10" s="28">
        <f>IF(H7&gt;0,R7-R8,IF(R7-R8&lt;=0,0,R7-R8))</f>
        <v>0</v>
      </c>
      <c r="S10" s="771" t="s">
        <v>129</v>
      </c>
      <c r="T10" s="772"/>
      <c r="U10" s="772"/>
      <c r="V10" s="773"/>
      <c r="W10" s="29"/>
      <c r="X10" s="29"/>
      <c r="Y10" s="29"/>
      <c r="Z10" s="29"/>
      <c r="AA10" s="18"/>
      <c r="AB10" s="18"/>
    </row>
    <row r="11" spans="2:30" ht="39.75" customHeight="1" thickBot="1">
      <c r="B11" s="275" t="s">
        <v>76</v>
      </c>
      <c r="C11" s="35"/>
      <c r="D11" s="206" t="s">
        <v>32</v>
      </c>
      <c r="E11" s="37">
        <f>IF(D9+E9&lt;2,0,IF(D9=0,0,IF(R9*1/2&lt;=10000000,ROUNDDOWN(R9*1/2,-3)*0.1,IF(R9*1/2&lt;=30000000,ROUNDDOWN(R9*1/2,-3)*0.15-500000,IF(R9*1/2&lt;=50000000,ROUNDDOWN(R9*1/2,-3)*0.2-2000000,IF(R9*1/2&lt;=100000000,ROUNDDOWN(R9*1/2,-3)*0.3-7000000,IF(R9*1/2&lt;=300000000,ROUNDDOWN(R9*1/2,-3)*0.4-17000000,ROUNDDOWN(R9*1/2,-3)*0.5-47000000)))))))</f>
        <v>290476500</v>
      </c>
      <c r="F11" s="36" t="s">
        <v>35</v>
      </c>
      <c r="G11" s="38">
        <f>IF(D9+E9&lt;2,0,IF(D9=0,0,IF(R9*1/2*1/E9&lt;=10000000,ROUNDDOWN(R9*1/2*1/E9,-3)*0.1,IF(R9*1/2*1/E9&lt;=30000000,ROUNDDOWN(R9*1/2*1/E9,-3)*0.15-500000,IF(R9*1/2*1/E9&lt;=50000000,ROUNDDOWN(R9*1/2*1/E9,-3)*0.2-2000000,IF(R9*1/2*1/E9&lt;=100000000,ROUNDDOWN(R9*1/2*1/E9,-3)*0.3-7000000,IF(R9*1/2*1/E9&lt;=300000000,ROUNDDOWN(R9*1/2*1/E9,-3)*0.4-17000000,ROUNDDOWN(R9*1/2*1/E9,-3)*0.5-47000000)))))))</f>
        <v>50495200</v>
      </c>
      <c r="H11" s="39" t="s">
        <v>50</v>
      </c>
      <c r="I11" s="40">
        <f>IF(D9+F9&lt;2,0,IF(D9=0,0,IF(R9*2/3&lt;=10000000,ROUNDDOWN(R9*2/3,-3)*0.1,IF(R9*2/3&lt;=30000000,ROUNDDOWN(R9*2/3,-3)*0.15-500000,IF(R9*2/3&lt;=50000000,ROUNDDOWN(R9*2/3,-3)*0.2-2000000,IF(R9*2/3&lt;=100000000,ROUNDDOWN(R9*2/3,-3)*0.3-7000000,IF(R9*2/3&lt;=300000000,ROUNDDOWN(R9*2/3,-3)*0.4-17000000,ROUNDDOWN(R9*2/3,-3)*0.5-47000000)))))))</f>
        <v>0</v>
      </c>
      <c r="J11" s="41" t="s">
        <v>39</v>
      </c>
      <c r="K11" s="40">
        <f>IF(D9+F9&lt;2,0,IF(D9=0,0,IF(R9*1/3*1/F9&lt;=10000000,ROUNDDOWN(R9*1/3*1/F9,-3)*0.1,IF(R9*1/3*1/F9&lt;=30000000,ROUNDDOWN(R9*1/3*1/F9,-3)*0.15-500000,IF(R9*1/3*1/F9&lt;=50000000,ROUNDDOWN(R9*1/3*1/F9,-3)*0.2-2000000,IF(R9*1/3*1/F9&lt;=100000000,ROUNDDOWN(R9*1/3*1/F9,-3)*0.3-7000000,IF(R9*1/3*1/F9&lt;=300000000,ROUNDDOWN(R9*1/3*1/F9,-3)*0.4-17000000,ROUNDDOWN(R9*1/3*1/F9,-3)*0.5-47000000)))))))</f>
        <v>0</v>
      </c>
      <c r="L11" s="23"/>
      <c r="M11" s="23"/>
      <c r="N11" s="23"/>
      <c r="O11" s="23"/>
      <c r="P11" s="23"/>
      <c r="Q11" s="23"/>
      <c r="R11" s="16">
        <f>IF(D9+E9=H9,ROUNDDOWN((E11*D9+G11*E9),-2),IF(D9+F9=H9,ROUNDDOWN((I11*D9+K11*F9),-2),IF(D9+G9=H9,ROUNDDOWN((E12*D9+G12*G9),-2),0)))</f>
        <v>492457300</v>
      </c>
      <c r="S11" s="18"/>
      <c r="T11" s="18"/>
      <c r="U11" s="42"/>
      <c r="V11" s="42"/>
      <c r="W11" s="18"/>
      <c r="X11" s="18"/>
      <c r="Y11" s="18"/>
      <c r="Z11" s="18"/>
      <c r="AA11" s="18"/>
      <c r="AB11" s="18"/>
    </row>
    <row r="12" spans="2:30" ht="39.75" customHeight="1" thickBot="1">
      <c r="B12" s="275" t="s">
        <v>77</v>
      </c>
      <c r="C12" s="35"/>
      <c r="D12" s="206" t="s">
        <v>33</v>
      </c>
      <c r="E12" s="37">
        <f>IF(D9+G9&lt;2,0,IF(D9=0,0,IF(R9*3/4&lt;=10000000,ROUNDDOWN(R9*3/4,-3)*0.1,IF(R9*3/4&lt;=30000000,ROUNDDOWN(R9*3/4,-3)*0.15-500000,IF(R9*3/4&lt;=50000000,ROUNDDOWN(R9*3/4,-3)*0.2-2000000,IF(R9*3/4&lt;=100000000,ROUNDDOWN(R9*3/4,-3)*0.3-7000000,IF(R9*3/4&lt;=300000000,ROUNDDOWN(R9*3/4,-3)*0.4-17000000,ROUNDDOWN(R9*3/4,-3)*0.5-47000000)))))))</f>
        <v>0</v>
      </c>
      <c r="F12" s="36" t="s">
        <v>36</v>
      </c>
      <c r="G12" s="38">
        <f>IF(D9+G9&lt;2,0,IF(D9=0,0,IF(R9*1/4*1/G9&lt;=10000000,ROUNDDOWN(R9*1/4*1/G9,-3)*0.1,IF(R9*1/4*1/G9&lt;=30000000,ROUNDDOWN(R9*1/4*1/G9,-3)*0.15-500000,IF(R9*1/4*1/G9&lt;=50000000,ROUNDDOWN(R9*1/4*1/G9,-3)*0.2-2000000,IF(R9*1/4*1/G9&lt;=100000000,ROUNDDOWN(R9*1/4*1/G9,-3)*0.3-7000000,IF(R9*1/4*1/G9&lt;=300000000,ROUNDDOWN(R9*1/4*1/G9,-3)*0.4-17000000,ROUNDDOWN(R9*1/4*1/G9,-3)*0.5-47000000)))))))</f>
        <v>0</v>
      </c>
      <c r="H12" s="39" t="s">
        <v>38</v>
      </c>
      <c r="I12" s="40">
        <f>IF(E9+F9+G9&gt;=1,0,IF(D9=0,0,IF(R9&lt;=10000000,ROUNDDOWN(R9*1,-3)*0.1,IF(R9&lt;=30000000,ROUNDDOWN(R9*1,-3)*0.15-500000,IF(R9&lt;=50000000,ROUNDDOWN(R9*1,-3)*0.2-2000000,IF(R9&lt;=100000000,ROUNDDOWN(R9*1,-3)*0.3-7000000,IF(R9&lt;=300000000,ROUNDDOWN(R9*1,-3)*0.4-17000000,ROUNDDOWN(R9*1,-3)*0.5-47000000)))))))</f>
        <v>0</v>
      </c>
      <c r="J12" s="280" t="s">
        <v>40</v>
      </c>
      <c r="K12" s="40">
        <f>IF(D9+F9+G9&gt;=1,0,IF(D9=1,0,IF(R9*1/E9&lt;=10000000,ROUNDDOWN(R9*1/E9,-3)*0.1,IF(R9*1/E9&lt;=30000000,ROUNDDOWN(R9*1/E9,-3)*0.15-500000,IF(R9*1/E9&lt;=50000000,ROUNDDOWN(R9*1/E9,-3)*0.2-2000000,IF(R9*1/E9&lt;=100000000,ROUNDDOWN(R9*1/E9,-3)*0.3-7000000,IF(R9*1/E9&lt;=300000000,ROUNDDOWN(R9*1/E9,-3)*0.4-17000000,ROUNDDOWN(R9*1/E9,-3)*0.5-47000000)))))))</f>
        <v>0</v>
      </c>
      <c r="L12" s="43"/>
      <c r="M12" s="43"/>
      <c r="N12" s="43"/>
      <c r="O12" s="43"/>
      <c r="P12" s="43"/>
      <c r="Q12" s="23"/>
      <c r="R12" s="16">
        <f>IF(D9=H9,ROUNDDOWN(I12*D9,-2),IF(E9=H9,ROUNDDOWN(K12*E9,-2),IF(F9=H9,ROUNDDOWN(E13*F9,-2),IF(G9=H9,ROUNDDOWN(G13*G9,-2),0))))</f>
        <v>0</v>
      </c>
      <c r="S12" s="18"/>
      <c r="T12" s="18"/>
      <c r="U12" s="42"/>
      <c r="V12" s="42"/>
      <c r="W12" s="18"/>
      <c r="X12" s="18"/>
      <c r="Y12" s="18"/>
      <c r="Z12" s="18"/>
      <c r="AA12" s="18"/>
      <c r="AB12" s="18"/>
    </row>
    <row r="13" spans="2:30" ht="39.75" customHeight="1" thickBot="1">
      <c r="B13" s="275" t="s">
        <v>78</v>
      </c>
      <c r="C13" s="35"/>
      <c r="D13" s="206" t="s">
        <v>34</v>
      </c>
      <c r="E13" s="37">
        <f>IF(D9+E9+G9&gt;=1,0,IF(D9=1,0,IF(R9*1/F9&lt;=10000000,ROUNDDOWN(R9*1/F9,-3)*0.1,IF(R9*1/F9&lt;=30000000,ROUNDDOWN(R9*1/F9,-3)*0.15-500000,IF(R9*1/F9&lt;=50000000,ROUNDDOWN(R9*1/F9,-3)*0.2-2000000,IF(R9*1/F9&lt;=100000000,ROUNDDOWN(R9*1/F9,-3)*0.3-7000000,IF(R9*1/F9&lt;=300000000,ROUNDDOWN(R9*1/F9,-3)*0.4-17000000,ROUNDDOWN(R9*1/F9,-3)*0.5-47000000)))))))</f>
        <v>0</v>
      </c>
      <c r="F13" s="206" t="s">
        <v>37</v>
      </c>
      <c r="G13" s="38">
        <f>IF(D9+E9+F9&gt;=1,0,IF(D9=1,0,IF(R9*1/G9&lt;=10000000,ROUNDDOWN(R9*1/G9,-3)*0.1,IF(R9*1/G9&lt;=30000000,ROUNDDOWN(R9*1/G9,-3)*0.15-500000,IF(R9*1/G9&lt;=50000000,ROUNDDOWN(R9*1/G9,-3)*0.2-2000000,IF(R9*1/G9&lt;=100000000,ROUNDDOWN(R9*1/G9,-3)*0.3-7000000,IF(R9*1/G9&lt;=300000000,ROUNDDOWN(R9*1/G9,-3)*0.4-17000000,ROUNDDOWN(R9*1/G9,-3)*0.5-47000000)))))))</f>
        <v>0</v>
      </c>
      <c r="H13" s="39" t="s">
        <v>41</v>
      </c>
      <c r="I13" s="40">
        <f>IF(F6=0,0,IF(M13&gt;=20,0,(20-M13)*60000))</f>
        <v>180000</v>
      </c>
      <c r="J13" s="44" t="s">
        <v>48</v>
      </c>
      <c r="K13" s="37">
        <f>F28+F31-F32-F33</f>
        <v>121341380</v>
      </c>
      <c r="L13" s="36" t="s">
        <v>64</v>
      </c>
      <c r="M13" s="45">
        <f>'財産集計（入力シート） '!P64</f>
        <v>17</v>
      </c>
      <c r="N13" s="43"/>
      <c r="O13" s="43"/>
      <c r="P13" s="43"/>
      <c r="Q13" s="23"/>
      <c r="R13" s="16">
        <f>'財産集計（入力シート） '!M71</f>
        <v>492456900</v>
      </c>
      <c r="S13" s="18"/>
      <c r="T13" s="18"/>
      <c r="U13" s="42"/>
      <c r="V13" s="42"/>
      <c r="W13" s="18"/>
      <c r="X13" s="18"/>
      <c r="Y13" s="18"/>
      <c r="Z13" s="18"/>
      <c r="AA13" s="18"/>
      <c r="AB13" s="18"/>
    </row>
    <row r="14" spans="2:30" ht="39.75" customHeight="1" thickBot="1">
      <c r="B14" s="276" t="s">
        <v>75</v>
      </c>
      <c r="C14" s="35"/>
      <c r="D14" s="43"/>
      <c r="E14" s="23"/>
      <c r="F14" s="43"/>
      <c r="G14" s="23"/>
      <c r="H14" s="43"/>
      <c r="I14" s="23"/>
      <c r="J14" s="43"/>
      <c r="K14" s="23"/>
      <c r="L14" s="43"/>
      <c r="M14" s="46"/>
      <c r="N14" s="43"/>
      <c r="O14" s="43"/>
      <c r="P14" s="43"/>
      <c r="Q14" s="31"/>
      <c r="R14" s="47">
        <f>IF(R13&lt;=0,R11+R12,R13)</f>
        <v>492456900</v>
      </c>
      <c r="S14" s="771" t="s">
        <v>128</v>
      </c>
      <c r="T14" s="772"/>
      <c r="U14" s="772"/>
      <c r="V14" s="773"/>
      <c r="W14" s="18"/>
      <c r="X14" s="18"/>
      <c r="Y14" s="48"/>
      <c r="Z14" s="49"/>
      <c r="AA14" s="18"/>
      <c r="AB14" s="18"/>
    </row>
    <row r="15" spans="2:30" ht="39.75" customHeight="1" thickBot="1">
      <c r="B15" s="272" t="s">
        <v>95</v>
      </c>
      <c r="C15" s="35"/>
      <c r="D15" s="36" t="s">
        <v>32</v>
      </c>
      <c r="E15" s="37">
        <f>IF(D9+E9&lt;2,0,IF(D9=0,0,IF(R10*1/2&lt;=10000000,ROUNDDOWN(R10*1/2,-3)*0.1,IF(R10*1/2&lt;=30000000,ROUNDDOWN(R10*1/2,-3)*0.15-500000,IF(R10*1/2&lt;=50000000,ROUNDDOWN(R10*1/2,-3)*0.2-2000000,IF(R10*1/2&lt;=100000000,ROUNDDOWN(R10*1/2,-3)*0.3-7000000,IF(R10*1/2&lt;=300000000,ROUNDDOWN(R10*1/2,-3)*0.4-17000000,ROUNDDOWN(R10*1/2,-3)*0.5-47000000)))))))</f>
        <v>0</v>
      </c>
      <c r="F15" s="36" t="s">
        <v>35</v>
      </c>
      <c r="G15" s="37">
        <f>IF(D9+E9&lt;2,0,IF(D9=0,0,IF(R10*1/2*1/E9&lt;=10000000,ROUNDDOWN(R10*1/2*1/E9,-3)*0.1,IF(R10*1/2*1/E9&lt;=30000000,ROUNDDOWN(R10*1/2*1/E9,-3)*0.15-500000,IF(R10*1/2*1/E9&lt;=50000000,ROUNDDOWN(R10*1/2*1/E9,-3)*0.2-2000000,IF(R10*1/2*1/E9&lt;=100000000,ROUNDDOWN(R10*1/2*1/E9,-3)*0.3-7000000,IF(R10*1/2*1/E9&lt;=300000000,ROUNDDOWN(R10*1/2*1/E9,-3)*0.4-17000000,ROUNDDOWN(R10*1/2*1/E9,-3)*0.5-47000000)))))))</f>
        <v>0</v>
      </c>
      <c r="H15" s="36" t="s">
        <v>50</v>
      </c>
      <c r="I15" s="37">
        <f>IF(D9+F9&lt;2,0,IF(D9=0,0,IF(R10*2/3&lt;=10000000,ROUNDDOWN(R10*2/3,-3)*0.1,IF(R10*2/3&lt;=30000000,ROUNDDOWN(R10*2/3,-3)*0.15-500000,IF(R10*2/3&lt;=50000000,ROUNDDOWN(R10*2/3,-3)*0.2-2000000,IF(R10*2/3&lt;=100000000,ROUNDDOWN(R10*2/3,-3)*0.3-7000000,IF(R10*2/3&lt;=300000000,ROUNDDOWN(R10*2/3,-3)*0.4-17000000,ROUNDDOWN(R10*2/3,-3)*0.5-47000000)))))))</f>
        <v>0</v>
      </c>
      <c r="J15" s="44" t="s">
        <v>39</v>
      </c>
      <c r="K15" s="37">
        <f>IF(D9+F9&lt;2,0,IF(D9=0,0,IF(R10*1/3*1/F9&lt;=10000000,ROUNDDOWN(R10*1/3*1/F9,-3)*0.1,IF(R10*1/3*1/F9&lt;=30000000,ROUNDDOWN(R10*1/3*1/F9,-3)*0.15-500000,IF(R10*1/3*1/F9&lt;=50000000,ROUNDDOWN(R10*1/3*1/F9,-3)*0.2-2000000,IF(R10*1/3*1/F9&lt;=100000000,ROUNDDOWN(R10*1/3*1/F9,-3)*0.3-7000000,IF(R10*1/3*1/F9&lt;=300000000,ROUNDDOWN(R10*1/3*1/F9,-3)*0.4-17000000,ROUNDDOWN(R10*1/3*1/F9,-3)*0.5-47000000)))))))</f>
        <v>0</v>
      </c>
      <c r="L15" s="50" t="s">
        <v>318</v>
      </c>
      <c r="M15" s="51"/>
      <c r="N15" s="43"/>
      <c r="O15" s="43"/>
      <c r="P15" s="43"/>
      <c r="Q15" s="52"/>
      <c r="R15" s="53">
        <f>IF(D9+E9=H9,ROUNDDOWN((E15*D9+G15*E9),-2),IF(D9+F9=H9,ROUNDDOWN((I15*D9+K15*F9),-2),IF(D9+G9=H9,ROUNDDOWN((E16*D9+G16*G9),-2),0)))</f>
        <v>0</v>
      </c>
      <c r="S15" s="18"/>
      <c r="T15" s="18"/>
      <c r="U15" s="42"/>
      <c r="V15" s="42"/>
      <c r="W15" s="18"/>
      <c r="X15" s="18"/>
      <c r="Y15" s="48"/>
      <c r="Z15" s="49"/>
      <c r="AA15" s="18"/>
      <c r="AB15" s="18"/>
    </row>
    <row r="16" spans="2:30" ht="39.75" customHeight="1" thickBot="1">
      <c r="B16" s="272" t="s">
        <v>96</v>
      </c>
      <c r="C16" s="35"/>
      <c r="D16" s="36" t="s">
        <v>33</v>
      </c>
      <c r="E16" s="54">
        <f>IF(D9+G9&lt;2,0,IF(D9=0,0,IF(R10*3/4&lt;=10000000,ROUNDDOWN(R10*3/4,-3)*0.1,IF(R10*3/4&lt;=30000000,ROUNDDOWN(R10*3/4,-3)*0.15-500000,IF(R10*3/4&lt;=50000000,ROUNDDOWN(R10*3/4,-3)*0.2-2000000,IF(R10*3/4&lt;=100000000,ROUNDDOWN(R10*3/4,-3)*0.3-7000000,IF(R10*3/4&lt;=300000000,ROUNDDOWN(R10*3/4,-3)*0.4-17000000,ROUNDDOWN(R10*3/4,-3)*0.5-47000000)))))))</f>
        <v>0</v>
      </c>
      <c r="F16" s="36" t="s">
        <v>56</v>
      </c>
      <c r="G16" s="54">
        <f>IF(D9+G9&lt;2,0,IF(D9=0,0,IF(R10*1/4*1/G9&lt;=10000000,ROUNDDOWN(R10*1/4*1/G9,-3)*0.1,IF(R10*1/4*1/G9&lt;=30000000,ROUNDDOWN(R10*1/4*1/G9,-3)*0.15-500000,IF(R10*1/4*1/G9&lt;=50000000,ROUNDDOWN(R10*1/4*1/G9,-3)*0.2-2000000,IF(R10*1/4*1/G9&lt;=100000000,ROUNDDOWN(R10*1/4*1/G9,-3)*0.3-7000000,IF(R10*1/4*1/G9&lt;=300000000,ROUNDDOWN(R10*1/4*1/G9,-3)*0.4-17000000,ROUNDDOWN(R10*1/4*1/G9,-3)*0.5-47000000)))))))</f>
        <v>0</v>
      </c>
      <c r="H16" s="36" t="s">
        <v>38</v>
      </c>
      <c r="I16" s="37">
        <f>IF(E9+F9+G9&gt;=1,0,IF(D9=0,0,IF(R10&lt;=10000000,ROUNDDOWN(R10*1,-3)*0.1,IF(R10&lt;=30000000,ROUNDDOWN(R10*1,-3)*0.15-500000,IF(R10&lt;=50000000,ROUNDDOWN(R10*1,-3)*0.2-2000000,IF(R10&lt;=100000000,ROUNDDOWN(R10*1,-3)*0.3-7000000,IF(R10&lt;=300000000,ROUNDDOWN(R10*1,-3)*0.4-17000000,ROUNDDOWN(R10*1,-3)*0.5-47000000)))))))</f>
        <v>0</v>
      </c>
      <c r="J16" s="279" t="s">
        <v>40</v>
      </c>
      <c r="K16" s="40">
        <f>IF(D9+F9+G9&gt;=1,0,IF(D9=1,0,IF(R10*1/E9&lt;=10000000,ROUNDDOWN(R10*1/E9,-3)*0.1,IF(R10*1/E9&lt;=30000000,ROUNDDOWN(R10*1/E9,-3)*0.15-500000,IF(R10*1/E9&lt;=50000000,ROUNDDOWN(R10*1/E9,-3)*0.2-2000000,IF(R10*1/E9&lt;=100000000,ROUNDDOWN(R10*1/E9,-3)*0.3-7000000,IF(R10*1/E9&lt;=300000000,ROUNDDOWN(R10*1/E9,-3)*0.4-17000000,ROUNDDOWN(R10*1/E9,-3)*0.5-47000000)))))))</f>
        <v>0</v>
      </c>
      <c r="L16" s="55" t="s">
        <v>319</v>
      </c>
      <c r="M16" s="56">
        <f>'財産集計（入力シート） '!P68</f>
        <v>26</v>
      </c>
      <c r="N16" s="43"/>
      <c r="O16" s="43"/>
      <c r="P16" s="43"/>
      <c r="Q16" s="31"/>
      <c r="R16" s="57">
        <f>IF(D9=H9,ROUNDDOWN(I16*D9,-2),IF(E9=H9,ROUNDDOWN(K16*E9,-2),IF(F9=H9,ROUNDDOWN(E17*F9,-2),IF(G9=H9,ROUNDDOWN(G17*G9,-2),0))))</f>
        <v>0</v>
      </c>
      <c r="S16" s="18"/>
      <c r="T16" s="18"/>
      <c r="U16" s="42"/>
      <c r="V16" s="42"/>
      <c r="W16" s="18"/>
      <c r="X16" s="18"/>
      <c r="Y16" s="48"/>
      <c r="Z16" s="49"/>
      <c r="AA16" s="18"/>
      <c r="AB16" s="18"/>
    </row>
    <row r="17" spans="1:29" ht="39.75" customHeight="1" thickBot="1">
      <c r="B17" s="272" t="s">
        <v>97</v>
      </c>
      <c r="C17" s="35"/>
      <c r="D17" s="36" t="s">
        <v>79</v>
      </c>
      <c r="E17" s="37">
        <f>IF(D9+E9+G9&gt;=1,0,IF(D9=1,0,IF(R10*1/F9&lt;=10000000,ROUNDDOWN(R10*1/F9,-3)*0.1,IF(R10*1/F9&lt;=30000000,ROUNDDOWN(R10*1/F9,-3)*0.15-500000,IF(R10*1/F9&lt;=50000000,ROUNDDOWN(R10*1/F9,-3)*0.2-2000000,IF(R10*1/F9&lt;=100000000,ROUNDDOWN(R10*1/F9,-3)*0.3-7000000,IF(R10*1/F9&lt;=300000000,ROUNDDOWN(R10*1/F9,-3)*0.4-17000000,ROUNDDOWN(R10*1/F9,-3)*0.5-47000000)))))))</f>
        <v>0</v>
      </c>
      <c r="F17" s="206" t="s">
        <v>55</v>
      </c>
      <c r="G17" s="37">
        <f>IF(D9+E9+F9&gt;=1,0,IF(D9=1,0,IF(R10*1/G9&lt;=10000000,ROUNDDOWN(R10*1/G9,-3)*0.1,IF(R10*1/G9&lt;=30000000,ROUNDDOWN(R10*1/G9,-3)*0.15-500000,IF(R10*1/G9&lt;=50000000,ROUNDDOWN(R10*1/G9,-3)*0.2-2000000,IF(R10*1/G9&lt;=100000000,ROUNDDOWN(R10*1/G9,-3)*0.3-7000000,IF(R10*1/G9&lt;=300000000,ROUNDDOWN(R10*1/G9,-3)*0.4-17000000,ROUNDDOWN(R10*1/G9,-3)*0.5-47000000)))))))</f>
        <v>0</v>
      </c>
      <c r="H17" s="43"/>
      <c r="I17" s="23"/>
      <c r="J17" s="43"/>
      <c r="K17" s="23"/>
      <c r="L17" s="43"/>
      <c r="M17" s="43"/>
      <c r="N17" s="43"/>
      <c r="O17" s="43"/>
      <c r="P17" s="43"/>
      <c r="Q17" s="31"/>
      <c r="R17" s="57">
        <f>'財産集計（入力シート） '!M88</f>
        <v>0</v>
      </c>
      <c r="S17" s="18"/>
      <c r="T17" s="18"/>
      <c r="U17" s="42"/>
      <c r="V17" s="42"/>
      <c r="W17" s="18"/>
      <c r="X17" s="18"/>
      <c r="Y17" s="48"/>
      <c r="Z17" s="49"/>
      <c r="AA17" s="18"/>
      <c r="AB17" s="18"/>
    </row>
    <row r="18" spans="1:29" ht="39.75" customHeight="1" thickBot="1">
      <c r="B18" s="273" t="s">
        <v>99</v>
      </c>
      <c r="C18" s="35"/>
      <c r="D18" s="58" t="s">
        <v>87</v>
      </c>
      <c r="E18" s="59">
        <f>IF(R6=0,0,IF(E19&gt;=K19,ROUNDDOWN(R14*K19/R6,0),ROUNDDOWN(R14*E19/R6,0)))</f>
        <v>135792415</v>
      </c>
      <c r="F18" s="36" t="s">
        <v>44</v>
      </c>
      <c r="G18" s="40">
        <f>IF(G6=0,0,IF((70-M16)&gt;(70-M15),ROUNDDOWN((70-M15)*60000,-4),0))</f>
        <v>0</v>
      </c>
      <c r="H18" s="36" t="s">
        <v>45</v>
      </c>
      <c r="I18" s="37">
        <f>IF(G6=0,0,IF((70-M16)&lt;(70-M15),ROUNDDOWN((70-M16)*120000,-4),0))</f>
        <v>5280000</v>
      </c>
      <c r="J18" s="36" t="s">
        <v>48</v>
      </c>
      <c r="K18" s="37">
        <f>G28+G31-G32-G33-G34</f>
        <v>97900432</v>
      </c>
      <c r="L18" s="43"/>
      <c r="M18" s="43"/>
      <c r="N18" s="43"/>
      <c r="O18" s="43"/>
      <c r="P18" s="43"/>
      <c r="Q18" s="31"/>
      <c r="R18" s="60">
        <f>IF(R17&lt;=0,R15+R16,R17)</f>
        <v>0</v>
      </c>
      <c r="S18" s="771" t="s">
        <v>131</v>
      </c>
      <c r="T18" s="772"/>
      <c r="U18" s="772"/>
      <c r="V18" s="773"/>
      <c r="W18" s="18"/>
      <c r="X18" s="18"/>
      <c r="Y18" s="48"/>
      <c r="Z18" s="49"/>
      <c r="AA18" s="18"/>
      <c r="AB18" s="18"/>
    </row>
    <row r="19" spans="1:29" ht="39.75" customHeight="1" thickBot="1">
      <c r="B19" s="273" t="s">
        <v>100</v>
      </c>
      <c r="C19" s="61"/>
      <c r="D19" s="58" t="s">
        <v>53</v>
      </c>
      <c r="E19" s="59">
        <f>IF(R6=0,0,IF(ROUNDDOWN(R6*1/2,-3)&gt;160000000,ROUNDDOWN(R6*1/2,-3),160000000))</f>
        <v>724953000</v>
      </c>
      <c r="F19" s="62" t="s">
        <v>54</v>
      </c>
      <c r="G19" s="63">
        <f>IF('財産集計（入力シート） '!D42+'財産集計（入力シート） '!D43&gt;='財産集計（入力シート） '!D34+'財産集計（入力シート） '!D35,('財産集計（入力シート） '!D42+'財産集計（入力シート） '!D43)-('財産集計（入力シート） '!D34+'財産集計（入力シート） '!D35),0)</f>
        <v>27960952</v>
      </c>
      <c r="H19" s="36" t="s">
        <v>84</v>
      </c>
      <c r="I19" s="64">
        <f>'財産集計（入力シート） '!D45+'財産集計（入力シート） '!D46</f>
        <v>30000000</v>
      </c>
      <c r="J19" s="39" t="s">
        <v>43</v>
      </c>
      <c r="K19" s="59">
        <f>IF(('財産集計（入力シート） '!D36+'財産集計（入力シート） '!D37)-G19+I19&lt;=I19,ROUNDDOWN(I19*1,-3),ROUNDDOWN(('財産集計（入力シート） '!D36+'財産集計（入力シート） '!D37)-G19+I19,-3))</f>
        <v>399804000</v>
      </c>
      <c r="L19" s="65" t="s">
        <v>85</v>
      </c>
      <c r="M19" s="37"/>
      <c r="N19" s="23"/>
      <c r="O19" s="23"/>
      <c r="P19" s="23"/>
      <c r="Q19" s="66"/>
      <c r="R19" s="67">
        <f>IF(R7=0,0,IF(H7&lt;=0,ROUNDDOWN(R18*E7/R7-E32,0),IF(H7&gt;0,IF(R18*H7/R7+H31-H32&lt;0,0,ROUNDDOWN(R18*H7/R7+H31-H32,0)))))</f>
        <v>0</v>
      </c>
      <c r="S19" s="771" t="s">
        <v>144</v>
      </c>
      <c r="T19" s="772"/>
      <c r="U19" s="772"/>
      <c r="V19" s="773"/>
      <c r="W19" s="42"/>
      <c r="X19" s="18"/>
      <c r="Y19" s="18"/>
      <c r="Z19" s="68"/>
      <c r="AA19" s="69"/>
      <c r="AB19" s="5"/>
    </row>
    <row r="20" spans="1:29" ht="39.75" customHeight="1" thickBot="1">
      <c r="B20" s="272" t="s">
        <v>101</v>
      </c>
      <c r="C20" s="61"/>
      <c r="D20" s="36" t="s">
        <v>32</v>
      </c>
      <c r="E20" s="70">
        <f>IF(D9+E9&lt;2,0,IF(D9=0,0,IF(Q10*1/2&lt;=10000000,ROUNDDOWN(Q10*1/2,-3)*0.1,IF(Q10*1/2&lt;=30000000,ROUNDDOWN(Q10*1/2,-3)*0.15-500000,IF(Q10*1/2&lt;=50000000,ROUNDDOWN(Q10*1/2,-3)*0.2-2000000,IF(Q10*1/2&lt;=100000000,ROUNDDOWN(Q10*1/2,-3)*0.3-7000000,IF(Q10*1/2&lt;=300000000,ROUNDDOWN(Q10*1/2,-3)*0.4-17000000,ROUNDDOWN(Q10*1/2,-3)*0.5-47000000)))))))</f>
        <v>0</v>
      </c>
      <c r="F20" s="36" t="s">
        <v>35</v>
      </c>
      <c r="G20" s="71">
        <f>IF(D9+E9&lt;2,0,IF(D9=0,0,IF(Q10*1/2*1/E9&lt;=10000000,ROUNDDOWN(Q10*1/2*1/E9,-3)*0.1,IF(Q10*1/2*1/E9&lt;=30000000,ROUNDDOWN(Q10*1/2*1/E9,-3)*0.15-500000,IF(Q10*1/2*1/E9&lt;=50000000,ROUNDDOWN(Q10*1/2*1/E9,-3)*0.2-2000000,IF(Q10*1/2*1/E9&lt;=100000000,ROUNDDOWN(Q10*1/2*1/E9,-3)*0.3-7000000,IF(Q10*1/2*1/E9&lt;=300000000,ROUNDDOWN(Q10*1/2*1/E9,-3)*0.4-17000000,ROUNDDOWN(Q10*1/2*1/E9,-3)*0.5-47000000)))))))</f>
        <v>0</v>
      </c>
      <c r="H20" s="36" t="s">
        <v>50</v>
      </c>
      <c r="I20" s="59">
        <f>IF(D9+F9&lt;2,0,IF(D9=0,0,IF(Q10*2/3&lt;=10000000,ROUNDDOWN(Q10*2/3,-3)*0.1,IF(Q10*2/3&lt;=30000000,ROUNDDOWN(Q10*2/3,-3)*0.15-500000,IF(Q10*2/3&lt;=50000000,ROUNDDOWN(Q10*2/3,-3)*0.2-2000000,IF(Q10*2/3&lt;=100000000,ROUNDDOWN(Q10*2/3,-3)*0.3-7000000,IF(Q10*2/3&lt;=300000000,ROUNDDOWN(Q10*2/3,-3)*0.4-17000000,ROUNDDOWN(Q10*2/3,-3)*0.5-47000000)))))))</f>
        <v>0</v>
      </c>
      <c r="J20" s="44" t="s">
        <v>39</v>
      </c>
      <c r="K20" s="70">
        <f>IF(D9+F9&lt;2,0,IF(D9=0,0,IF(Q10*1/3*1/F9&lt;=10000000,ROUNDDOWN(Q10*1/3*1/F9,-3)*0.1,IF(Q10*1/3*1/F9&lt;=30000000,ROUNDDOWN(Q10*1/3*1/F9,-3)*0.15-500000,IF(Q10*1/3*1/F9&lt;=50000000,ROUNDDOWN(Q10*1/3*1/F9,-3)*0.2-2000000,IF(Q10*1/3*1/F9&lt;=100000000,ROUNDDOWN(Q10*1/3*1/F9,-3)*0.3-7000000,IF(Q10*1/3*1/F9&lt;=300000000,ROUNDDOWN(Q10*1/3*1/F9,-3)*0.4-17000000,ROUNDDOWN(Q10*1/3*1/F9,-3)*0.5-47000000)))))))</f>
        <v>0</v>
      </c>
      <c r="L20" s="65"/>
      <c r="M20" s="37"/>
      <c r="N20" s="23"/>
      <c r="O20" s="23"/>
      <c r="P20" s="23"/>
      <c r="Q20" s="66"/>
      <c r="R20" s="53">
        <f>IF(D9+E9=H9,ROUNDDOWN((E20*D9+G20*E9),-2),IF(D9+F9=H9,ROUNDDOWN((I20*D9+K20*F9),-2),IF(D9+G9=H9,ROUNDDOWN((E21*D9+G21*G9),-2),0)))</f>
        <v>0</v>
      </c>
      <c r="S20" s="48"/>
      <c r="T20" s="18"/>
      <c r="U20" s="18"/>
      <c r="V20" s="42"/>
      <c r="W20" s="42"/>
      <c r="X20" s="18"/>
      <c r="Y20" s="18"/>
      <c r="Z20" s="68"/>
      <c r="AA20" s="69"/>
      <c r="AB20" s="5"/>
    </row>
    <row r="21" spans="1:29" ht="39.75" customHeight="1" thickBot="1">
      <c r="B21" s="272" t="s">
        <v>102</v>
      </c>
      <c r="C21" s="61"/>
      <c r="D21" s="36" t="s">
        <v>33</v>
      </c>
      <c r="E21" s="70">
        <f>IF(D9+G9&lt;2,0,IF(D9=0,0,IF(Q10*3/4&lt;=10000000,ROUNDDOWN(Q10*3/4,-3)*0.1,IF(Q10*3/4&lt;=30000000,ROUNDDOWN(Q10*3/4,-3)*0.15-500000,IF(Q10*3/4&lt;=50000000,ROUNDDOWN(Q10*3/4,-3)*0.2-2000000,IF(Q10*3/4&lt;=100000000,ROUNDDOWN(Q10*3/4,-3)*0.3-7000000,IF(Q10*3/4&lt;=300000000,ROUNDDOWN(Q10*3/4,-3)*0.4-17000000,ROUNDDOWN(Q10*3/4,-3)*0.5-47000000)))))))</f>
        <v>0</v>
      </c>
      <c r="F21" s="36" t="s">
        <v>56</v>
      </c>
      <c r="G21" s="71">
        <f>IF(D9+G9&lt;2,0,IF(D9=0,0,IF(Q10*1/4*1/G9&lt;=10000000,ROUNDDOWN(Q10*1/4*1/G9,-3)*0.1,IF(Q10*1/4*1/G9&lt;=30000000,ROUNDDOWN(Q10*1/4*1/G9,-3)*0.15-500000,IF(Q10*1/4*1/G9&lt;=50000000,ROUNDDOWN(Q10*1/4*1/G9,-3)*0.2-2000000,IF(Q10*1/4*1/G9&lt;=100000000,ROUNDDOWN(Q10*1/4*1/G9,-3)*0.3-7000000,IF(Q10*1/4*1/G9&lt;=300000000,ROUNDDOWN(Q10*1/4*1/G9,-3)*0.4-17000000,ROUNDDOWN(Q10*1/4*1/G9,-3)*0.5-47000000)))))))</f>
        <v>0</v>
      </c>
      <c r="H21" s="36" t="s">
        <v>38</v>
      </c>
      <c r="I21" s="72">
        <f>IF(E9+F9+G9&gt;=1,0,IF(D9=0,0,IF(Q10&lt;=10000000,ROUNDDOWN(Q10*1,-3)*0.1,IF(Q10&lt;=30000000,ROUNDDOWN(Q10*1,-3)*0.15-500000,IF(Q10&lt;=50000000,ROUNDDOWN(Q10*1,-3)*0.2-2000000,IF(Q10&lt;=100000000,ROUNDDOWN(Q10*1,-3)*0.3-7000000,IF(Q10&lt;=300000000,ROUNDDOWN(Q10*1,-3)*0.4-17000000,ROUNDDOWN(Q10*1,-3)*0.5-47000000)))))))</f>
        <v>0</v>
      </c>
      <c r="J21" s="279" t="s">
        <v>40</v>
      </c>
      <c r="K21" s="70">
        <f>IF(D9+F9+G9&gt;=1,0,IF(D9=1,0,IF(Q10*1/E9&lt;=10000000,ROUNDDOWN(Q10*1/E9,-3)*0.1,IF(Q10*1/E9&lt;=30000000,ROUNDDOWN(Q10*1/E9,-3)*0.15-500000,IF(Q10*1/E9&lt;=50000000,ROUNDDOWN(Q10*1/E9,-3)*0.2-2000000,IF(Q10*1/E9&lt;=100000000,ROUNDDOWN(Q10*1/E9,-3)*0.3-7000000,IF(Q10*1/E9&lt;=300000000,ROUNDDOWN(Q10*1/E9,-3)*0.4-17000000,ROUNDDOWN(Q10*1/E9,-3)*0.5-47000000)))))))</f>
        <v>0</v>
      </c>
      <c r="L21" s="65"/>
      <c r="M21" s="37"/>
      <c r="N21" s="23"/>
      <c r="O21" s="23"/>
      <c r="P21" s="23"/>
      <c r="Q21" s="23"/>
      <c r="R21" s="57">
        <f>IF(D9=H9,ROUNDDOWN(I21*D9,-2),IF(E9=H9,ROUNDDOWN(K21*E9,-2),IF(F9=H9,ROUNDDOWN(E22*F9,-2),IF(G9=H9,ROUNDDOWN(G22*G9,-2),0))))</f>
        <v>0</v>
      </c>
      <c r="S21" s="48"/>
      <c r="T21" s="18"/>
      <c r="U21" s="18"/>
      <c r="V21" s="42"/>
      <c r="W21" s="42"/>
      <c r="X21" s="18"/>
      <c r="Y21" s="18"/>
      <c r="Z21" s="68"/>
      <c r="AA21" s="69"/>
      <c r="AB21" s="5"/>
    </row>
    <row r="22" spans="1:29" ht="39.75" customHeight="1" thickBot="1">
      <c r="B22" s="272" t="s">
        <v>103</v>
      </c>
      <c r="C22" s="61"/>
      <c r="D22" s="36" t="s">
        <v>79</v>
      </c>
      <c r="E22" s="70">
        <f>IF(D9+E9+G9&gt;=1,0,IF(D9=1,0,IF(Q10*1/F9&lt;=10000000,ROUNDDOWN(Q10*1/F9,-3)*0.1,IF(Q10*1/F9&lt;=30000000,ROUNDDOWN(Q10*1/F9,-3)*0.15-500000,IF(Q10*1/F9&lt;=50000000,ROUNDDOWN(Q10*1/F9,-3)*0.2-2000000,IF(Q10*1/F9&lt;=100000000,ROUNDDOWN(Q10*1/F9,-3)*0.3-7000000,IF(Q10*1/F9&lt;=300000000,ROUNDDOWN(Q10*1/F9,-3)*0.4-17000000,ROUNDDOWN(Q10*1/F9,-3)*0.5-47000000)))))))</f>
        <v>0</v>
      </c>
      <c r="F22" s="206" t="s">
        <v>55</v>
      </c>
      <c r="G22" s="71">
        <f>IF(D9+E9+F9&gt;=1,0,IF(D9=1,0,IF(Q10*1/G9&lt;=10000000,ROUNDDOWN(Q10*1/G9,-3)*0.1,IF(Q10*1/G9&lt;=30000000,ROUNDDOWN(Q10*1/G9,-3)*0.15-500000,IF(Q10*1/G9&lt;=50000000,ROUNDDOWN(Q10*1/G9,-3)*0.2-2000000,IF(Q10*1/G9&lt;=100000000,ROUNDDOWN(Q10*1/G9,-3)*0.3-7000000,IF(Q10*1/G9&lt;=300000000,ROUNDDOWN(Q10*1/G9,-3)*0.4-17000000,ROUNDDOWN(Q10*1/G9,-3)*0.5-47000000)))))))</f>
        <v>0</v>
      </c>
      <c r="H22" s="36"/>
      <c r="I22" s="73"/>
      <c r="J22" s="39"/>
      <c r="K22" s="70"/>
      <c r="L22" s="65"/>
      <c r="M22" s="37"/>
      <c r="N22" s="23"/>
      <c r="O22" s="23"/>
      <c r="P22" s="23"/>
      <c r="Q22" s="23"/>
      <c r="R22" s="57">
        <f>'財産集計（入力シート） '!M105</f>
        <v>0</v>
      </c>
      <c r="S22" s="48"/>
      <c r="T22" s="18"/>
      <c r="U22" s="18"/>
      <c r="V22" s="42"/>
      <c r="W22" s="42"/>
      <c r="X22" s="18"/>
      <c r="Y22" s="18"/>
      <c r="Z22" s="68"/>
      <c r="AA22" s="69"/>
      <c r="AB22" s="5"/>
    </row>
    <row r="23" spans="1:29" ht="39.75" customHeight="1" thickBot="1">
      <c r="A23" s="278"/>
      <c r="B23" s="273" t="s">
        <v>104</v>
      </c>
      <c r="C23" s="61"/>
      <c r="D23" s="58"/>
      <c r="E23" s="70"/>
      <c r="F23" s="62"/>
      <c r="G23" s="71"/>
      <c r="H23" s="36"/>
      <c r="I23" s="73"/>
      <c r="J23" s="39"/>
      <c r="K23" s="70"/>
      <c r="L23" s="65"/>
      <c r="M23" s="37"/>
      <c r="N23" s="23"/>
      <c r="O23" s="23"/>
      <c r="P23" s="23"/>
      <c r="Q23" s="178" t="s">
        <v>141</v>
      </c>
      <c r="R23" s="74">
        <f>IF(R22&lt;=0,R20+R21,R22)</f>
        <v>0</v>
      </c>
      <c r="S23" s="776" t="s">
        <v>130</v>
      </c>
      <c r="T23" s="777"/>
      <c r="U23" s="777"/>
      <c r="V23" s="778"/>
      <c r="W23" s="42"/>
      <c r="X23" s="18"/>
      <c r="Y23" s="18"/>
      <c r="Z23" s="68"/>
      <c r="AA23" s="69"/>
      <c r="AB23" s="5"/>
    </row>
    <row r="24" spans="1:29" ht="39.75" customHeight="1" thickBot="1">
      <c r="A24" s="278"/>
      <c r="B24" s="273" t="s">
        <v>573</v>
      </c>
      <c r="C24" s="61"/>
      <c r="D24" s="58"/>
      <c r="E24" s="70"/>
      <c r="F24" s="62"/>
      <c r="G24" s="71"/>
      <c r="H24" s="36"/>
      <c r="I24" s="73"/>
      <c r="J24" s="39"/>
      <c r="K24" s="70"/>
      <c r="L24" s="65"/>
      <c r="M24" s="37"/>
      <c r="N24" s="23"/>
      <c r="O24" s="23"/>
      <c r="P24" s="23"/>
      <c r="Q24" s="33">
        <f>IF(E7&gt;0,E7*0.2,IF(E7&lt;=0,H7*0.2))</f>
        <v>0</v>
      </c>
      <c r="R24" s="67">
        <f>IF(E7=0,0,IF(E7&gt;0,IF(R23*E7*0.2/(Q10+R8)-E32&lt;0,0,ROUNDDOWN((R23*E7*0.2/(Q10+R8)-E32),0))))</f>
        <v>0</v>
      </c>
      <c r="S24" s="764" t="s">
        <v>143</v>
      </c>
      <c r="T24" s="765"/>
      <c r="U24" s="765"/>
      <c r="V24" s="766"/>
      <c r="W24" s="42"/>
      <c r="X24" s="18"/>
      <c r="Y24" s="18"/>
      <c r="Z24" s="68"/>
      <c r="AA24" s="69"/>
      <c r="AB24" s="5"/>
    </row>
    <row r="25" spans="1:29" ht="39.75" customHeight="1" thickBot="1">
      <c r="A25" s="278"/>
      <c r="B25" s="277" t="s">
        <v>574</v>
      </c>
      <c r="D25" s="36" t="s">
        <v>53</v>
      </c>
      <c r="E25" s="37"/>
      <c r="F25" s="75" t="s">
        <v>54</v>
      </c>
      <c r="G25" s="37"/>
      <c r="H25" s="36" t="s">
        <v>84</v>
      </c>
      <c r="I25" s="54"/>
      <c r="J25" s="206" t="s">
        <v>43</v>
      </c>
      <c r="K25" s="76"/>
      <c r="L25" s="65" t="s">
        <v>86</v>
      </c>
      <c r="M25" s="70"/>
      <c r="N25" s="30"/>
      <c r="O25" s="31"/>
      <c r="P25" s="31"/>
      <c r="Q25" s="31"/>
      <c r="R25" s="47">
        <f>IF(H7=0,0,IF(H7&gt;0,IF(R23*H7*0.2/(Q10+R8)+H31-H32&lt;0,0,ROUNDDOWN(R23*H7*0.2/(Q10+R8)+H31-H32,0))))</f>
        <v>0</v>
      </c>
      <c r="S25" s="764" t="s">
        <v>142</v>
      </c>
      <c r="T25" s="765"/>
      <c r="U25" s="765"/>
      <c r="V25" s="766"/>
      <c r="W25" s="18"/>
      <c r="X25" s="18"/>
      <c r="Y25" s="77"/>
      <c r="Z25" s="49"/>
      <c r="AA25" s="49"/>
      <c r="AB25" s="78"/>
      <c r="AC25" s="3"/>
    </row>
    <row r="26" spans="1:29" ht="39.75" customHeight="1" thickBot="1">
      <c r="B26" s="79"/>
      <c r="D26" s="206" t="s">
        <v>65</v>
      </c>
      <c r="E26" s="80">
        <f>IF(K26&gt;=10,0,IF(G26-I26&lt;='財産集計（入力シート） '!R44,ROUNDDOWN(I26*1/1*(10-K26)/10,0),ROUNDDOWN(I26*'財産集計（入力シート） '!R44/(G26-I26)*(10-K26)/10,0)))</f>
        <v>6000000</v>
      </c>
      <c r="F26" s="75" t="s">
        <v>46</v>
      </c>
      <c r="G26" s="70">
        <f>'財産集計（入力シート） '!P73</f>
        <v>200000000</v>
      </c>
      <c r="H26" s="75" t="s">
        <v>47</v>
      </c>
      <c r="I26" s="81">
        <f>'財産集計（入力シート） '!P75</f>
        <v>20000000</v>
      </c>
      <c r="J26" s="206" t="s">
        <v>49</v>
      </c>
      <c r="K26" s="82">
        <f>'財産集計（入力シート） '!P77</f>
        <v>7</v>
      </c>
      <c r="L26" s="62"/>
      <c r="M26" s="83"/>
      <c r="N26" s="84"/>
      <c r="O26" s="85"/>
      <c r="P26" s="85"/>
      <c r="Q26" s="85"/>
      <c r="R26" s="202">
        <f>IF(R24&gt;0,ROUNDDOWN((R19-R24),-2),ROUNDDOWN((R19-R25),-2))</f>
        <v>0</v>
      </c>
      <c r="S26" s="764" t="s">
        <v>132</v>
      </c>
      <c r="T26" s="765"/>
      <c r="U26" s="765"/>
      <c r="V26" s="766"/>
      <c r="W26" s="18"/>
      <c r="X26" s="18"/>
      <c r="Y26" s="86"/>
      <c r="Z26" s="49"/>
      <c r="AA26" s="78"/>
      <c r="AB26" s="78"/>
    </row>
    <row r="27" spans="1:29" ht="39.75" customHeight="1" thickBot="1">
      <c r="B27" s="34" t="s">
        <v>12</v>
      </c>
      <c r="D27" s="220">
        <f>IF(R6=0,0,IF(D9=0,0,1-(E27+F27+G27+H27+I27+J27+K27+L27+M27+N27+O27+P27+Q27)))</f>
        <v>0.27579999999999993</v>
      </c>
      <c r="E27" s="221">
        <f>IF(R6=0,0,ROUND(E6/R6,4))</f>
        <v>0.1124</v>
      </c>
      <c r="F27" s="222">
        <f>IF(R6=0,0,ROUND(F6/R6,4))</f>
        <v>0.24640000000000001</v>
      </c>
      <c r="G27" s="220">
        <f>IF(R6=0,0,ROUND(G6/R6,4))</f>
        <v>0.1988</v>
      </c>
      <c r="H27" s="223">
        <f>IF(R6=0,0,IF(D9=0,1-(D27+E27+F27+G27+I27+J27+K27+L27+M27+N27+O27+P27+Q27),ROUND(H6/R6,4)))</f>
        <v>5.0999999999999997E-2</v>
      </c>
      <c r="I27" s="220">
        <f>IF(R6=0,0,ROUND(I6/R6,4))</f>
        <v>0.11559999999999999</v>
      </c>
      <c r="J27" s="222">
        <f>IF(R6=0,0,ROUND(J6/R6,4))</f>
        <v>0</v>
      </c>
      <c r="K27" s="222">
        <f>IF(R6=0,0,ROUND(K6/R6,4))</f>
        <v>0</v>
      </c>
      <c r="L27" s="222">
        <f>IF(R6=0,0,ROUND(L6/R6,4))</f>
        <v>0</v>
      </c>
      <c r="M27" s="220">
        <f>IF(R6=0,0,ROUND(M6/R6,4))</f>
        <v>0</v>
      </c>
      <c r="N27" s="220">
        <f>IF(R6=0,0,ROUND(N6/R6,4))</f>
        <v>0</v>
      </c>
      <c r="O27" s="220">
        <f>IF(R6=0,0,ROUND(O6/R6,4))</f>
        <v>0</v>
      </c>
      <c r="P27" s="220">
        <f>IF(R6=0,0,ROUND(P6/R6,4))</f>
        <v>0</v>
      </c>
      <c r="Q27" s="220">
        <f>IF(R6=0,0,ROUND(Q6/R6,4))</f>
        <v>0</v>
      </c>
      <c r="R27" s="203">
        <f t="shared" ref="R27:R36" si="0">SUM(D27:Q27)</f>
        <v>1</v>
      </c>
      <c r="S27" s="87">
        <f>ROUND(R27,0)</f>
        <v>1</v>
      </c>
      <c r="T27" s="18"/>
      <c r="U27" s="86"/>
      <c r="V27" s="49"/>
      <c r="W27" s="18"/>
      <c r="X27" s="18"/>
      <c r="Y27" s="86"/>
      <c r="Z27" s="49"/>
      <c r="AA27" s="78"/>
      <c r="AB27" s="78"/>
    </row>
    <row r="28" spans="1:29" ht="39.75" customHeight="1" thickBot="1">
      <c r="B28" s="34" t="s">
        <v>21</v>
      </c>
      <c r="D28" s="185">
        <f>ROUND(R14*D27,0)</f>
        <v>135819613</v>
      </c>
      <c r="E28" s="185">
        <f>ROUND(R14*E27,0)</f>
        <v>55352156</v>
      </c>
      <c r="F28" s="182">
        <f>ROUND(R14*F27,0)</f>
        <v>121341380</v>
      </c>
      <c r="G28" s="186">
        <f>ROUND(R14*G27,0)</f>
        <v>97900432</v>
      </c>
      <c r="H28" s="183">
        <f>ROUND(R14*H27,0)</f>
        <v>25115302</v>
      </c>
      <c r="I28" s="187">
        <f>ROUND(R14*I27,0)</f>
        <v>56928018</v>
      </c>
      <c r="J28" s="184">
        <f>ROUNDDOWN(R14*J27,0)</f>
        <v>0</v>
      </c>
      <c r="K28" s="188">
        <f>ROUNDDOWN(R14*K27,0)</f>
        <v>0</v>
      </c>
      <c r="L28" s="182">
        <f>ROUNDDOWN(R14*L27,0)</f>
        <v>0</v>
      </c>
      <c r="M28" s="188">
        <f>ROUNDDOWN(R14*M27,0)</f>
        <v>0</v>
      </c>
      <c r="N28" s="188">
        <f>ROUNDDOWN(R14*N27,0)</f>
        <v>0</v>
      </c>
      <c r="O28" s="188">
        <f>ROUNDDOWN(R14*O27,0)</f>
        <v>0</v>
      </c>
      <c r="P28" s="188">
        <f>ROUNDDOWN(R14*P27,0)</f>
        <v>0</v>
      </c>
      <c r="Q28" s="188">
        <f>ROUNDDOWN(R14*Q27,0)</f>
        <v>0</v>
      </c>
      <c r="R28" s="88">
        <f t="shared" si="0"/>
        <v>492456901</v>
      </c>
      <c r="S28" s="18"/>
      <c r="T28" s="18"/>
      <c r="U28" s="86"/>
      <c r="V28" s="49"/>
      <c r="W28" s="18"/>
      <c r="X28" s="18"/>
      <c r="Y28" s="86"/>
      <c r="Z28" s="49"/>
      <c r="AA28" s="78"/>
      <c r="AB28" s="78"/>
    </row>
    <row r="29" spans="1:29" ht="39.75" customHeight="1" thickBot="1">
      <c r="B29" s="34" t="s">
        <v>83</v>
      </c>
      <c r="D29" s="189"/>
      <c r="E29" s="181"/>
      <c r="F29" s="190"/>
      <c r="G29" s="186"/>
      <c r="H29" s="191"/>
      <c r="I29" s="187"/>
      <c r="J29" s="192"/>
      <c r="K29" s="193"/>
      <c r="L29" s="190"/>
      <c r="M29" s="193"/>
      <c r="N29" s="193"/>
      <c r="O29" s="193"/>
      <c r="P29" s="193"/>
      <c r="Q29" s="193"/>
      <c r="R29" s="88"/>
      <c r="S29" s="18"/>
      <c r="T29" s="18"/>
      <c r="U29" s="86"/>
      <c r="V29" s="49"/>
      <c r="W29" s="18"/>
      <c r="X29" s="18"/>
      <c r="Y29" s="86"/>
      <c r="Z29" s="49"/>
      <c r="AA29" s="78"/>
      <c r="AB29" s="78"/>
    </row>
    <row r="30" spans="1:29" ht="39.75" customHeight="1" thickBot="1">
      <c r="B30" s="34" t="s">
        <v>57</v>
      </c>
      <c r="D30" s="185">
        <f>SUM(D28:D29)</f>
        <v>135819613</v>
      </c>
      <c r="E30" s="185">
        <f t="shared" ref="E30:Q30" si="1">SUM(E28:E29)</f>
        <v>55352156</v>
      </c>
      <c r="F30" s="185">
        <f t="shared" si="1"/>
        <v>121341380</v>
      </c>
      <c r="G30" s="185">
        <f t="shared" si="1"/>
        <v>97900432</v>
      </c>
      <c r="H30" s="185">
        <f t="shared" si="1"/>
        <v>25115302</v>
      </c>
      <c r="I30" s="185">
        <f t="shared" si="1"/>
        <v>56928018</v>
      </c>
      <c r="J30" s="185">
        <f t="shared" si="1"/>
        <v>0</v>
      </c>
      <c r="K30" s="185">
        <f t="shared" si="1"/>
        <v>0</v>
      </c>
      <c r="L30" s="185">
        <f t="shared" si="1"/>
        <v>0</v>
      </c>
      <c r="M30" s="185">
        <f t="shared" si="1"/>
        <v>0</v>
      </c>
      <c r="N30" s="185">
        <f t="shared" si="1"/>
        <v>0</v>
      </c>
      <c r="O30" s="185">
        <f t="shared" si="1"/>
        <v>0</v>
      </c>
      <c r="P30" s="185">
        <f t="shared" si="1"/>
        <v>0</v>
      </c>
      <c r="Q30" s="185">
        <f t="shared" si="1"/>
        <v>0</v>
      </c>
      <c r="R30" s="88">
        <f t="shared" si="0"/>
        <v>492456901</v>
      </c>
      <c r="S30" s="18"/>
      <c r="T30" s="18"/>
      <c r="U30" s="86"/>
      <c r="V30" s="49"/>
      <c r="W30" s="18"/>
      <c r="X30" s="18"/>
      <c r="Y30" s="86"/>
      <c r="Z30" s="49"/>
      <c r="AA30" s="78"/>
      <c r="AB30" s="78"/>
    </row>
    <row r="31" spans="1:29" ht="39.75" customHeight="1" thickBot="1">
      <c r="B31" s="34" t="s">
        <v>80</v>
      </c>
      <c r="D31" s="194"/>
      <c r="E31" s="181"/>
      <c r="F31" s="190"/>
      <c r="G31" s="186"/>
      <c r="H31" s="183">
        <f>ROUNDDOWN(H28*0.2,0)</f>
        <v>5023060</v>
      </c>
      <c r="I31" s="187"/>
      <c r="J31" s="192"/>
      <c r="K31" s="193"/>
      <c r="L31" s="190"/>
      <c r="M31" s="193"/>
      <c r="N31" s="193"/>
      <c r="O31" s="193"/>
      <c r="P31" s="193"/>
      <c r="Q31" s="193"/>
      <c r="R31" s="88">
        <f t="shared" si="0"/>
        <v>5023060</v>
      </c>
      <c r="S31" s="18"/>
      <c r="T31" s="18"/>
      <c r="U31" s="86"/>
      <c r="V31" s="49"/>
      <c r="W31" s="18"/>
      <c r="X31" s="18"/>
      <c r="Y31" s="86"/>
      <c r="Z31" s="49"/>
      <c r="AA31" s="78"/>
      <c r="AB31" s="78"/>
    </row>
    <row r="32" spans="1:29" ht="39.75" customHeight="1" thickBot="1">
      <c r="B32" s="34" t="s">
        <v>59</v>
      </c>
      <c r="D32" s="185">
        <f>'財産集計（入力シート） '!D50</f>
        <v>6930000</v>
      </c>
      <c r="E32" s="185">
        <f>'財産集計（入力シート） '!E50</f>
        <v>0</v>
      </c>
      <c r="F32" s="185">
        <f>'財産集計（入力シート） '!F50</f>
        <v>0</v>
      </c>
      <c r="G32" s="185">
        <f>'財産集計（入力シート） '!G50</f>
        <v>0</v>
      </c>
      <c r="H32" s="185">
        <f>'財産集計（入力シート） '!H50</f>
        <v>0</v>
      </c>
      <c r="I32" s="185">
        <f>'財産集計（入力シート） '!I50</f>
        <v>0</v>
      </c>
      <c r="J32" s="185">
        <f>'財産集計（入力シート） '!J50</f>
        <v>0</v>
      </c>
      <c r="K32" s="185">
        <f>'財産集計（入力シート） '!K50</f>
        <v>0</v>
      </c>
      <c r="L32" s="185">
        <f>'財産集計（入力シート） '!L50</f>
        <v>0</v>
      </c>
      <c r="M32" s="185">
        <f>'財産集計（入力シート） '!M50</f>
        <v>0</v>
      </c>
      <c r="N32" s="185">
        <f>'財産集計（入力シート） '!N50</f>
        <v>0</v>
      </c>
      <c r="O32" s="185">
        <f>'財産集計（入力シート） '!O50</f>
        <v>0</v>
      </c>
      <c r="P32" s="185">
        <f>'財産集計（入力シート） '!P50</f>
        <v>0</v>
      </c>
      <c r="Q32" s="185">
        <f>'財産集計（入力シート） '!Q50</f>
        <v>0</v>
      </c>
      <c r="R32" s="88">
        <f t="shared" si="0"/>
        <v>6930000</v>
      </c>
      <c r="S32" s="18"/>
      <c r="T32" s="18"/>
      <c r="U32" s="86"/>
      <c r="V32" s="49"/>
      <c r="W32" s="18"/>
      <c r="X32" s="18"/>
      <c r="Y32" s="86"/>
      <c r="Z32" s="49"/>
      <c r="AA32" s="78"/>
      <c r="AB32" s="78"/>
    </row>
    <row r="33" spans="2:31" ht="39.75" customHeight="1" thickBot="1">
      <c r="B33" s="34" t="s">
        <v>11</v>
      </c>
      <c r="D33" s="185">
        <f>IF(D30-D32&lt;=0,0,IF(D30-D32&lt;=E18,D30-D32,E18))</f>
        <v>128889613</v>
      </c>
      <c r="E33" s="181"/>
      <c r="F33" s="190"/>
      <c r="G33" s="186"/>
      <c r="H33" s="191"/>
      <c r="I33" s="187"/>
      <c r="J33" s="195"/>
      <c r="K33" s="196"/>
      <c r="L33" s="190"/>
      <c r="M33" s="193"/>
      <c r="N33" s="197"/>
      <c r="O33" s="197"/>
      <c r="P33" s="197"/>
      <c r="Q33" s="197"/>
      <c r="R33" s="88">
        <f t="shared" si="0"/>
        <v>128889613</v>
      </c>
      <c r="S33" s="18"/>
      <c r="T33" s="18"/>
      <c r="U33" s="86"/>
      <c r="V33" s="49"/>
      <c r="W33" s="18"/>
      <c r="X33" s="18"/>
      <c r="Y33" s="86"/>
      <c r="Z33" s="49"/>
      <c r="AA33" s="78"/>
      <c r="AB33" s="78"/>
    </row>
    <row r="34" spans="2:31" ht="39.75" customHeight="1" thickBot="1">
      <c r="B34" s="34" t="s">
        <v>13</v>
      </c>
      <c r="C34" s="89"/>
      <c r="D34" s="198"/>
      <c r="E34" s="186">
        <f>IF(E28+E31-E32-E33&lt;=0,0,IF(I13&gt;K13,I13-K13,0))</f>
        <v>0</v>
      </c>
      <c r="F34" s="186">
        <f>IF(I13&lt;=K13,I13,IF(I13&gt;K13,K13,0))</f>
        <v>180000</v>
      </c>
      <c r="G34" s="186"/>
      <c r="H34" s="199"/>
      <c r="I34" s="186"/>
      <c r="J34" s="186"/>
      <c r="K34" s="186"/>
      <c r="L34" s="186"/>
      <c r="M34" s="17"/>
      <c r="N34" s="199"/>
      <c r="O34" s="199"/>
      <c r="P34" s="199"/>
      <c r="Q34" s="17"/>
      <c r="R34" s="16">
        <f t="shared" si="0"/>
        <v>180000</v>
      </c>
      <c r="S34" s="18"/>
      <c r="T34" s="18"/>
      <c r="U34" s="18"/>
      <c r="V34" s="18"/>
      <c r="W34" s="18"/>
      <c r="X34" s="18"/>
      <c r="Y34" s="90"/>
      <c r="Z34" s="90"/>
      <c r="AA34" s="91"/>
      <c r="AB34" s="91"/>
    </row>
    <row r="35" spans="2:31" ht="39.75" customHeight="1" thickBot="1">
      <c r="B35" s="34" t="s">
        <v>14</v>
      </c>
      <c r="C35" s="89"/>
      <c r="D35" s="17"/>
      <c r="E35" s="17">
        <f>IF(E28+E31-E32-E33-E34&lt;=0,0,IF(G18+I18&gt;K18,G18+I18-K18,0))</f>
        <v>0</v>
      </c>
      <c r="F35" s="200"/>
      <c r="G35" s="17">
        <f>IF(G18+I18&gt;=K18,K18,G18+I18)</f>
        <v>5280000</v>
      </c>
      <c r="H35" s="201"/>
      <c r="I35" s="17"/>
      <c r="J35" s="17"/>
      <c r="K35" s="17"/>
      <c r="L35" s="17"/>
      <c r="M35" s="17"/>
      <c r="N35" s="201"/>
      <c r="O35" s="201"/>
      <c r="P35" s="201"/>
      <c r="Q35" s="17"/>
      <c r="R35" s="16">
        <f t="shared" si="0"/>
        <v>5280000</v>
      </c>
      <c r="S35" s="18"/>
      <c r="T35" s="18"/>
      <c r="U35" s="18"/>
      <c r="V35" s="18"/>
      <c r="W35" s="18"/>
      <c r="X35" s="18"/>
      <c r="Y35" s="18"/>
      <c r="Z35" s="18"/>
      <c r="AA35" s="91"/>
      <c r="AB35" s="91"/>
    </row>
    <row r="36" spans="2:31" ht="39.75" customHeight="1" thickBot="1">
      <c r="B36" s="34" t="s">
        <v>25</v>
      </c>
      <c r="C36" s="89"/>
      <c r="D36" s="204">
        <f>IF(G26=0,0,1-(E36+F36+G36+H36+I36+J36+K36+L36+M36+N36+O36+P36+Q36))</f>
        <v>0.26044250000000002</v>
      </c>
      <c r="E36" s="204">
        <f>IF(G26=0,0,ROUND('財産集計（入力シート） '!E44/'財産集計（入力シート） '!R44,7))</f>
        <v>0.1147961</v>
      </c>
      <c r="F36" s="204">
        <f>IF(G26=0,0,ROUND('財産集計（入力シート） '!F44/'財産集計（入力シート） '!R44,7))</f>
        <v>0.25156099999999998</v>
      </c>
      <c r="G36" s="204">
        <f>IF(G26=0,0,ROUND('財産集計（入力シート） '!G44/'財産集計（入力シート） '!R44,7))</f>
        <v>0.2030131</v>
      </c>
      <c r="H36" s="204">
        <f>IF(G26=0,0,ROUND('財産集計（入力シート） '!H44/'財産集計（入力シート） '!R44,7))</f>
        <v>5.2112800000000001E-2</v>
      </c>
      <c r="I36" s="204">
        <f>IF(G26=0,0,ROUND('財産集計（入力シート） '!I44/'財産集計（入力シート） '!R44,7))</f>
        <v>0.1180745</v>
      </c>
      <c r="J36" s="204">
        <f>IF(G26=0,0,ROUND('財産集計（入力シート） '!J44/'財産集計（入力シート） '!R44,7))</f>
        <v>0</v>
      </c>
      <c r="K36" s="204">
        <f>IF(G26=0,0,ROUND('財産集計（入力シート） '!K44/'財産集計（入力シート） '!R44,7))</f>
        <v>0</v>
      </c>
      <c r="L36" s="204">
        <f>IF(G26=0,0,ROUND('財産集計（入力シート） '!L44/'財産集計（入力シート） '!R44,7))</f>
        <v>0</v>
      </c>
      <c r="M36" s="204">
        <f>IF(G26=0,0,ROUND('財産集計（入力シート） '!M44/'財産集計（入力シート） '!R44,7))</f>
        <v>0</v>
      </c>
      <c r="N36" s="204">
        <f>IF(G26=0,0,ROUND('財産集計（入力シート） '!N44/'財産集計（入力シート） '!R44,7))</f>
        <v>0</v>
      </c>
      <c r="O36" s="204">
        <f>IF(G26=0,0,ROUND('財産集計（入力シート） '!O44/'財産集計（入力シート） '!R44,7))</f>
        <v>0</v>
      </c>
      <c r="P36" s="204">
        <f>IF(G26=0,0,ROUND('財産集計（入力シート） '!P44/'財産集計（入力シート） '!R44,7))</f>
        <v>0</v>
      </c>
      <c r="Q36" s="204">
        <f>IF(G26=0,0,ROUND('財産集計（入力シート） '!Q44/'財産集計（入力シート） '!R44,7))</f>
        <v>0</v>
      </c>
      <c r="R36" s="16">
        <f t="shared" si="0"/>
        <v>0.99999999999999989</v>
      </c>
      <c r="S36" s="87">
        <f>ROUND(R36,0)</f>
        <v>1</v>
      </c>
      <c r="T36" s="92"/>
      <c r="U36" s="92"/>
      <c r="V36" s="92"/>
      <c r="W36" s="92"/>
      <c r="X36" s="92"/>
      <c r="Y36" s="92"/>
      <c r="Z36" s="92"/>
      <c r="AA36" s="93"/>
      <c r="AB36" s="93"/>
    </row>
    <row r="37" spans="2:31" ht="39.75" customHeight="1" thickBot="1">
      <c r="B37" s="34" t="s">
        <v>15</v>
      </c>
      <c r="C37" s="89"/>
      <c r="D37" s="17">
        <f>IF('財産集計（入力シート） '!D48=0,0,ROUNDDOWN(E26*D36,0))</f>
        <v>1562655</v>
      </c>
      <c r="E37" s="17">
        <f>IF('財産集計（入力シート） '!E48=0,0,ROUNDDOWN(E26*E36,0))</f>
        <v>0</v>
      </c>
      <c r="F37" s="17">
        <f>IF('財産集計（入力シート） '!F48=0,0,ROUNDDOWN(E26*F36,0))</f>
        <v>1509366</v>
      </c>
      <c r="G37" s="17">
        <f>IF('財産集計（入力シート） '!G48=0,0,ROUNDDOWN(E26*G36,0))</f>
        <v>1218078</v>
      </c>
      <c r="H37" s="17">
        <f>IF('財産集計（入力シート） '!H48=0,0,ROUNDDOWN(E26*H36,0))</f>
        <v>0</v>
      </c>
      <c r="I37" s="17">
        <f>IF('財産集計（入力シート） '!I48=0,0,ROUNDDOWN(E26*I36,0))</f>
        <v>708447</v>
      </c>
      <c r="J37" s="17">
        <f>IF('財産集計（入力シート） '!J48=0,0,ROUNDDOWN(E26*J36,0))</f>
        <v>0</v>
      </c>
      <c r="K37" s="17">
        <f>IF('財産集計（入力シート） '!K48=0,0,ROUNDDOWN(E26*K36,0))</f>
        <v>0</v>
      </c>
      <c r="L37" s="17">
        <f>IF('財産集計（入力シート） '!L48=0,0,ROUNDDOWN(E26*L36,0))</f>
        <v>0</v>
      </c>
      <c r="M37" s="17">
        <f>IF('財産集計（入力シート） '!M48=0,0,ROUNDDOWN(E26*M36,0))</f>
        <v>0</v>
      </c>
      <c r="N37" s="17">
        <f>IF('財産集計（入力シート） '!N48=0,0,ROUNDDOWN(E26*N36,0))</f>
        <v>0</v>
      </c>
      <c r="O37" s="17">
        <f>IF('財産集計（入力シート） '!O48=0,0,ROUNDDOWN(E26*O36,0))</f>
        <v>0</v>
      </c>
      <c r="P37" s="17">
        <f>IF('財産集計（入力シート） '!P48=0,0,ROUNDDOWN(E26*P36,0))</f>
        <v>0</v>
      </c>
      <c r="Q37" s="17">
        <f>IF('財産集計（入力シート） '!Q48=0,0,ROUNDDOWN(E26*Q36,0))</f>
        <v>0</v>
      </c>
      <c r="R37" s="16">
        <f t="shared" ref="R37:R43" si="2">SUM(D37:Q37)</f>
        <v>4998546</v>
      </c>
      <c r="S37" s="18"/>
      <c r="T37" s="18"/>
      <c r="U37" s="18"/>
      <c r="V37" s="18"/>
      <c r="W37" s="18"/>
      <c r="X37" s="18"/>
      <c r="Y37" s="18"/>
      <c r="Z37" s="18"/>
      <c r="AA37" s="91"/>
      <c r="AB37" s="91"/>
    </row>
    <row r="38" spans="2:31" ht="39.75" customHeight="1" thickBot="1">
      <c r="B38" s="34" t="s">
        <v>16</v>
      </c>
      <c r="C38" s="89"/>
      <c r="D38" s="17">
        <f>'財産集計（入力シート） '!D51</f>
        <v>0</v>
      </c>
      <c r="E38" s="17">
        <f>'財産集計（入力シート） '!E51</f>
        <v>0</v>
      </c>
      <c r="F38" s="17">
        <f>'財産集計（入力シート） '!F51</f>
        <v>1120000</v>
      </c>
      <c r="G38" s="17">
        <f>'財産集計（入力シート） '!G51</f>
        <v>0</v>
      </c>
      <c r="H38" s="17">
        <f>'財産集計（入力シート） '!H51</f>
        <v>649600</v>
      </c>
      <c r="I38" s="17">
        <f>'財産集計（入力シート） '!I51</f>
        <v>0</v>
      </c>
      <c r="J38" s="17">
        <f>'財産集計（入力シート） '!J51</f>
        <v>0</v>
      </c>
      <c r="K38" s="17">
        <f>'財産集計（入力シート） '!K51</f>
        <v>0</v>
      </c>
      <c r="L38" s="17">
        <f>'財産集計（入力シート） '!L51</f>
        <v>0</v>
      </c>
      <c r="M38" s="17">
        <f>'財産集計（入力シート） '!M51</f>
        <v>0</v>
      </c>
      <c r="N38" s="17">
        <f>'財産集計（入力シート） '!N51</f>
        <v>0</v>
      </c>
      <c r="O38" s="17">
        <f>'財産集計（入力シート） '!O51</f>
        <v>0</v>
      </c>
      <c r="P38" s="17">
        <f>'財産集計（入力シート） '!P51</f>
        <v>0</v>
      </c>
      <c r="Q38" s="17">
        <f>'財産集計（入力シート） '!Q51</f>
        <v>0</v>
      </c>
      <c r="R38" s="16">
        <f t="shared" si="2"/>
        <v>1769600</v>
      </c>
      <c r="S38" s="18"/>
      <c r="T38" s="18"/>
      <c r="U38" s="18"/>
      <c r="V38" s="18"/>
      <c r="W38" s="18"/>
      <c r="X38" s="18"/>
      <c r="Y38" s="18"/>
      <c r="Z38" s="18"/>
      <c r="AA38" s="91"/>
      <c r="AB38" s="91"/>
    </row>
    <row r="39" spans="2:31" ht="39.75" customHeight="1" thickBot="1">
      <c r="B39" s="34" t="s">
        <v>26</v>
      </c>
      <c r="C39" s="89"/>
      <c r="D39" s="17">
        <f>D32+D33+D34+D35+D37+D38</f>
        <v>137382268</v>
      </c>
      <c r="E39" s="17">
        <f t="shared" ref="E39:Q39" si="3">E32+E33+E34+E35+E37+E38</f>
        <v>0</v>
      </c>
      <c r="F39" s="17">
        <f t="shared" si="3"/>
        <v>2809366</v>
      </c>
      <c r="G39" s="17">
        <f t="shared" si="3"/>
        <v>6498078</v>
      </c>
      <c r="H39" s="17">
        <f t="shared" si="3"/>
        <v>649600</v>
      </c>
      <c r="I39" s="17">
        <f t="shared" si="3"/>
        <v>708447</v>
      </c>
      <c r="J39" s="17">
        <f t="shared" si="3"/>
        <v>0</v>
      </c>
      <c r="K39" s="17">
        <f t="shared" si="3"/>
        <v>0</v>
      </c>
      <c r="L39" s="17">
        <f t="shared" si="3"/>
        <v>0</v>
      </c>
      <c r="M39" s="17">
        <f t="shared" si="3"/>
        <v>0</v>
      </c>
      <c r="N39" s="17">
        <f t="shared" si="3"/>
        <v>0</v>
      </c>
      <c r="O39" s="17">
        <f t="shared" si="3"/>
        <v>0</v>
      </c>
      <c r="P39" s="17">
        <f t="shared" si="3"/>
        <v>0</v>
      </c>
      <c r="Q39" s="17">
        <f t="shared" si="3"/>
        <v>0</v>
      </c>
      <c r="R39" s="16">
        <f t="shared" si="2"/>
        <v>148047759</v>
      </c>
      <c r="S39" s="18"/>
      <c r="T39" s="18"/>
      <c r="U39" s="18"/>
      <c r="V39" s="18"/>
      <c r="W39" s="18"/>
      <c r="X39" s="18"/>
      <c r="Y39" s="18"/>
      <c r="Z39" s="18"/>
      <c r="AA39" s="91"/>
      <c r="AB39" s="91"/>
    </row>
    <row r="40" spans="2:31" ht="39.75" customHeight="1" thickBot="1">
      <c r="B40" s="34" t="s">
        <v>17</v>
      </c>
      <c r="C40" s="89"/>
      <c r="D40" s="17">
        <f t="shared" ref="D40:Q40" si="4">IF(D30+D31-D39&lt;=0,0,ROUNDDOWN(D30+D31-D39,0))</f>
        <v>0</v>
      </c>
      <c r="E40" s="17">
        <f t="shared" si="4"/>
        <v>55352156</v>
      </c>
      <c r="F40" s="17">
        <f t="shared" si="4"/>
        <v>118532014</v>
      </c>
      <c r="G40" s="17">
        <f t="shared" si="4"/>
        <v>91402354</v>
      </c>
      <c r="H40" s="17">
        <f t="shared" si="4"/>
        <v>29488762</v>
      </c>
      <c r="I40" s="17">
        <f t="shared" si="4"/>
        <v>56219571</v>
      </c>
      <c r="J40" s="17">
        <f t="shared" si="4"/>
        <v>0</v>
      </c>
      <c r="K40" s="17">
        <f t="shared" si="4"/>
        <v>0</v>
      </c>
      <c r="L40" s="17">
        <f t="shared" si="4"/>
        <v>0</v>
      </c>
      <c r="M40" s="17">
        <f t="shared" si="4"/>
        <v>0</v>
      </c>
      <c r="N40" s="17">
        <f>IF(N30+N31-N39&lt;=0,0,ROUNDDOWN(N30+N31-N39,0))</f>
        <v>0</v>
      </c>
      <c r="O40" s="17">
        <f>IF(O30+O31-O39&lt;=0,0,ROUNDDOWN(O30+O31-O39,0))</f>
        <v>0</v>
      </c>
      <c r="P40" s="17">
        <f>IF(P30+P31-P39&lt;=0,0,ROUNDDOWN(P30+P31-P39,0))</f>
        <v>0</v>
      </c>
      <c r="Q40" s="17">
        <f t="shared" si="4"/>
        <v>0</v>
      </c>
      <c r="R40" s="16">
        <f t="shared" si="2"/>
        <v>350994857</v>
      </c>
      <c r="S40" s="18"/>
      <c r="T40" s="18"/>
      <c r="U40" s="18"/>
      <c r="V40" s="18"/>
      <c r="W40" s="18"/>
      <c r="X40" s="18"/>
      <c r="Y40" s="18"/>
      <c r="Z40" s="18"/>
      <c r="AA40" s="91"/>
      <c r="AB40" s="91"/>
      <c r="AE40" s="3"/>
    </row>
    <row r="41" spans="2:31" ht="39.75" customHeight="1" thickBot="1">
      <c r="B41" s="34" t="s">
        <v>60</v>
      </c>
      <c r="C41" s="89"/>
      <c r="D41" s="17">
        <f>'財産集計（入力シート） '!D52</f>
        <v>0</v>
      </c>
      <c r="E41" s="17">
        <f>'財産集計（入力シート） '!E52</f>
        <v>3000000</v>
      </c>
      <c r="F41" s="17">
        <f>'財産集計（入力シート） '!F52</f>
        <v>0</v>
      </c>
      <c r="G41" s="17">
        <f>'財産集計（入力シート） '!G52</f>
        <v>1000000</v>
      </c>
      <c r="H41" s="17">
        <f>'財産集計（入力シート） '!H52</f>
        <v>0</v>
      </c>
      <c r="I41" s="17">
        <f>'財産集計（入力シート） '!I52</f>
        <v>0</v>
      </c>
      <c r="J41" s="17">
        <f>'財産集計（入力シート） '!J52</f>
        <v>0</v>
      </c>
      <c r="K41" s="17">
        <f>'財産集計（入力シート） '!K52</f>
        <v>0</v>
      </c>
      <c r="L41" s="17">
        <f>'財産集計（入力シート） '!L52</f>
        <v>0</v>
      </c>
      <c r="M41" s="17">
        <f>'財産集計（入力シート） '!M52</f>
        <v>0</v>
      </c>
      <c r="N41" s="17">
        <f>'財産集計（入力シート） '!N52</f>
        <v>0</v>
      </c>
      <c r="O41" s="17">
        <f>'財産集計（入力シート） '!O52</f>
        <v>0</v>
      </c>
      <c r="P41" s="17">
        <f>'財産集計（入力シート） '!P52</f>
        <v>0</v>
      </c>
      <c r="Q41" s="17">
        <f>'財産集計（入力シート） '!Q52</f>
        <v>0</v>
      </c>
      <c r="R41" s="16">
        <f t="shared" si="2"/>
        <v>4000000</v>
      </c>
      <c r="S41" s="18"/>
      <c r="T41" s="18"/>
      <c r="U41" s="18"/>
      <c r="V41" s="18"/>
      <c r="W41" s="18"/>
      <c r="X41" s="18"/>
      <c r="Y41" s="18"/>
      <c r="Z41" s="18"/>
      <c r="AA41" s="91"/>
      <c r="AB41" s="91"/>
      <c r="AE41" s="3"/>
    </row>
    <row r="42" spans="2:31" ht="39.75" customHeight="1" thickBot="1">
      <c r="B42" s="34" t="s">
        <v>18</v>
      </c>
      <c r="C42" s="89"/>
      <c r="D42" s="17"/>
      <c r="E42" s="17">
        <f>IF(R24=0,0,R26)</f>
        <v>0</v>
      </c>
      <c r="F42" s="201"/>
      <c r="G42" s="17"/>
      <c r="H42" s="201">
        <f>IF(R25=0,0,R26)</f>
        <v>0</v>
      </c>
      <c r="I42" s="17"/>
      <c r="J42" s="17"/>
      <c r="K42" s="17"/>
      <c r="L42" s="17"/>
      <c r="M42" s="201"/>
      <c r="N42" s="17"/>
      <c r="O42" s="17"/>
      <c r="P42" s="17"/>
      <c r="Q42" s="201"/>
      <c r="R42" s="16">
        <f t="shared" si="2"/>
        <v>0</v>
      </c>
      <c r="S42" s="18"/>
      <c r="T42" s="18"/>
      <c r="U42" s="18"/>
      <c r="V42" s="18"/>
      <c r="W42" s="18"/>
      <c r="X42" s="18"/>
      <c r="Y42" s="18"/>
      <c r="Z42" s="18"/>
      <c r="AA42" s="91"/>
      <c r="AB42" s="91"/>
    </row>
    <row r="43" spans="2:31" ht="39.75" customHeight="1" thickBot="1">
      <c r="B43" s="34" t="s">
        <v>19</v>
      </c>
      <c r="C43" s="89"/>
      <c r="D43" s="17">
        <f>IF(D40-D41-D42&gt;0,ROUNDDOWN((D40-D41-D42),-2),D40-D41-D42)</f>
        <v>0</v>
      </c>
      <c r="E43" s="17">
        <f t="shared" ref="E43:Q43" si="5">IF(E40-E41-E42&gt;0,ROUNDDOWN((E40-E41-E42),-2),E40-E41-E42)</f>
        <v>52352100</v>
      </c>
      <c r="F43" s="17">
        <f t="shared" si="5"/>
        <v>118532000</v>
      </c>
      <c r="G43" s="17">
        <f t="shared" si="5"/>
        <v>90402300</v>
      </c>
      <c r="H43" s="17">
        <f t="shared" si="5"/>
        <v>29488700</v>
      </c>
      <c r="I43" s="17">
        <f t="shared" si="5"/>
        <v>56219500</v>
      </c>
      <c r="J43" s="17">
        <f t="shared" si="5"/>
        <v>0</v>
      </c>
      <c r="K43" s="17">
        <f t="shared" si="5"/>
        <v>0</v>
      </c>
      <c r="L43" s="17">
        <f t="shared" si="5"/>
        <v>0</v>
      </c>
      <c r="M43" s="17">
        <f t="shared" si="5"/>
        <v>0</v>
      </c>
      <c r="N43" s="17">
        <f>IF(N40-N41-N42&gt;0,ROUNDDOWN((N40-N41-N42),-2),N40-N41-N42)</f>
        <v>0</v>
      </c>
      <c r="O43" s="17">
        <f>IF(O40-O41-O42&gt;0,ROUNDDOWN((O40-O41-O42),-2),O40-O41-O42)</f>
        <v>0</v>
      </c>
      <c r="P43" s="17">
        <f>IF(P40-P41-P42&gt;0,ROUNDDOWN((P40-P41-P42),-2),P40-P41-P42)</f>
        <v>0</v>
      </c>
      <c r="Q43" s="17">
        <f t="shared" si="5"/>
        <v>0</v>
      </c>
      <c r="R43" s="16">
        <f t="shared" si="2"/>
        <v>346994600</v>
      </c>
      <c r="S43" s="18"/>
      <c r="T43" s="49"/>
      <c r="U43" s="18"/>
      <c r="V43" s="18"/>
      <c r="W43" s="18"/>
      <c r="X43" s="18"/>
      <c r="Y43" s="18"/>
      <c r="Z43" s="18"/>
      <c r="AA43" s="91"/>
      <c r="AB43" s="91"/>
    </row>
    <row r="44" spans="2:31" ht="39.75" customHeight="1">
      <c r="B44" s="3"/>
      <c r="C44" s="35"/>
      <c r="D44" s="18"/>
      <c r="E44" s="18"/>
      <c r="F44" s="18"/>
      <c r="G44" s="18"/>
      <c r="H44" s="18"/>
      <c r="I44" s="18"/>
      <c r="J44" s="18"/>
      <c r="K44" s="18"/>
      <c r="L44" s="18"/>
      <c r="M44" s="18"/>
      <c r="N44" s="18"/>
      <c r="O44" s="18"/>
      <c r="P44" s="18"/>
      <c r="Q44" s="68"/>
      <c r="R44" s="68"/>
      <c r="S44" s="68"/>
      <c r="T44" s="68"/>
      <c r="U44" s="68"/>
      <c r="V44" s="68"/>
      <c r="W44" s="68"/>
      <c r="X44" s="68"/>
      <c r="Y44" s="68"/>
      <c r="Z44" s="68"/>
      <c r="AA44" s="770"/>
      <c r="AB44" s="770"/>
    </row>
    <row r="45" spans="2:31" ht="39.75" customHeight="1">
      <c r="B45" s="35"/>
      <c r="C45" s="35"/>
      <c r="D45" s="68"/>
      <c r="E45" s="68"/>
      <c r="F45" s="68"/>
      <c r="G45" s="68"/>
      <c r="H45" s="68"/>
      <c r="I45" s="68"/>
      <c r="J45" s="68"/>
      <c r="K45" s="68"/>
      <c r="L45" s="94"/>
      <c r="M45" s="68"/>
      <c r="N45" s="68"/>
      <c r="O45" s="68"/>
      <c r="P45" s="68"/>
      <c r="Q45" s="68"/>
      <c r="R45" s="68"/>
      <c r="S45" s="68"/>
    </row>
    <row r="46" spans="2:31" ht="39.75" customHeight="1">
      <c r="B46" s="35"/>
      <c r="C46" s="35"/>
      <c r="D46" s="68"/>
      <c r="E46" s="68"/>
      <c r="F46" s="68"/>
      <c r="G46" s="68"/>
      <c r="H46" s="68"/>
      <c r="I46" s="68"/>
      <c r="J46" s="68"/>
      <c r="K46" s="68"/>
      <c r="L46" s="68"/>
      <c r="M46" s="68"/>
      <c r="N46" s="68"/>
      <c r="O46" s="68"/>
      <c r="P46" s="68"/>
      <c r="Q46" s="68"/>
      <c r="R46" s="68"/>
      <c r="S46" s="68"/>
    </row>
    <row r="47" spans="2:31" ht="19.5" customHeight="1">
      <c r="B47" s="95"/>
      <c r="C47" s="95"/>
      <c r="D47" s="18"/>
      <c r="E47" s="18"/>
      <c r="F47" s="18"/>
      <c r="G47" s="18"/>
      <c r="H47" s="18"/>
      <c r="I47" s="18"/>
      <c r="J47" s="18"/>
      <c r="K47" s="18"/>
      <c r="L47" s="18"/>
      <c r="M47" s="18"/>
      <c r="N47" s="18"/>
      <c r="O47" s="18"/>
      <c r="P47" s="18"/>
      <c r="Q47" s="18"/>
      <c r="R47" s="18"/>
      <c r="S47" s="18"/>
    </row>
    <row r="48" spans="2:31" ht="19.5" customHeight="1">
      <c r="B48" s="1"/>
      <c r="C48" s="1"/>
      <c r="D48" s="1"/>
      <c r="E48" s="1"/>
      <c r="F48" s="1"/>
      <c r="G48" s="1"/>
      <c r="H48" s="1"/>
      <c r="I48" s="1"/>
      <c r="J48" s="1"/>
      <c r="K48" s="1"/>
      <c r="L48" s="1"/>
      <c r="M48" s="1"/>
      <c r="N48" s="1"/>
      <c r="O48" s="1"/>
      <c r="P48" s="1"/>
      <c r="Q48" s="1"/>
      <c r="R48" s="1"/>
      <c r="S48" s="1"/>
    </row>
    <row r="49" spans="2:19" ht="19.5" customHeight="1">
      <c r="B49" s="1"/>
      <c r="C49" s="1"/>
      <c r="D49" s="1"/>
      <c r="E49" s="1"/>
      <c r="F49" s="1"/>
      <c r="G49" s="1"/>
      <c r="H49" s="1"/>
      <c r="I49" s="1"/>
      <c r="J49" s="1"/>
      <c r="K49" s="1"/>
      <c r="L49" s="1"/>
      <c r="M49" s="1"/>
      <c r="N49" s="1"/>
      <c r="O49" s="1"/>
      <c r="P49" s="1"/>
      <c r="Q49" s="1"/>
      <c r="R49" s="1"/>
      <c r="S49" s="1"/>
    </row>
    <row r="50" spans="2:19" ht="19.5" customHeight="1">
      <c r="B50" s="1"/>
      <c r="C50" s="1"/>
      <c r="D50" s="1"/>
      <c r="E50" s="1"/>
      <c r="F50" s="2"/>
      <c r="G50" s="1"/>
      <c r="H50" s="1"/>
      <c r="I50" s="1"/>
      <c r="J50" s="1"/>
      <c r="K50" s="1"/>
      <c r="L50" s="1"/>
      <c r="M50" s="1"/>
      <c r="N50" s="1"/>
      <c r="O50" s="1"/>
      <c r="P50" s="1"/>
      <c r="Q50" s="1"/>
      <c r="R50" s="1"/>
      <c r="S50" s="1"/>
    </row>
  </sheetData>
  <sheetProtection password="E915" sheet="1" objects="1" scenarios="1"/>
  <mergeCells count="17">
    <mergeCell ref="B1:G2"/>
    <mergeCell ref="H1:J1"/>
    <mergeCell ref="S24:V24"/>
    <mergeCell ref="S6:V6"/>
    <mergeCell ref="S7:V7"/>
    <mergeCell ref="S8:V8"/>
    <mergeCell ref="S19:V19"/>
    <mergeCell ref="S23:V23"/>
    <mergeCell ref="S9:V9"/>
    <mergeCell ref="S26:V26"/>
    <mergeCell ref="R4:R5"/>
    <mergeCell ref="AC5:AD5"/>
    <mergeCell ref="AA44:AB44"/>
    <mergeCell ref="S10:V10"/>
    <mergeCell ref="S14:V14"/>
    <mergeCell ref="S18:V18"/>
    <mergeCell ref="S25:V25"/>
  </mergeCells>
  <phoneticPr fontId="2"/>
  <pageMargins left="0.39370078740157483" right="0.39370078740157483" top="0.39370078740157483" bottom="0.39370078740157483" header="0" footer="0"/>
  <pageSetup paperSize="8" scale="53" orientation="landscape" verticalDpi="0" r:id="rId1"/>
  <headerFooter alignWithMargins="0"/>
  <cellWatches>
    <cellWatch r="R36"/>
  </cellWatches>
  <ignoredErrors>
    <ignoredError sqref="L9" formulaRange="1"/>
    <ignoredError sqref="O27 P4 K4 O7" formula="1"/>
  </ignoredErrors>
  <legacyDrawing r:id="rId2"/>
</worksheet>
</file>

<file path=xl/worksheets/sheet3.xml><?xml version="1.0" encoding="utf-8"?>
<worksheet xmlns="http://schemas.openxmlformats.org/spreadsheetml/2006/main" xmlns:r="http://schemas.openxmlformats.org/officeDocument/2006/relationships">
  <dimension ref="A1:M1089"/>
  <sheetViews>
    <sheetView topLeftCell="B391" workbookViewId="0">
      <selection activeCell="E122" sqref="E122"/>
    </sheetView>
  </sheetViews>
  <sheetFormatPr defaultRowHeight="15.95" customHeight="1"/>
  <cols>
    <col min="1" max="10" width="14.625" style="282" customWidth="1"/>
    <col min="11" max="11" width="16.125" style="282" customWidth="1"/>
    <col min="12" max="16384" width="9" style="282"/>
  </cols>
  <sheetData>
    <row r="1" spans="1:9" ht="15.95" customHeight="1">
      <c r="A1" s="281" t="s">
        <v>145</v>
      </c>
    </row>
    <row r="2" spans="1:9" ht="15.95" customHeight="1" thickBot="1">
      <c r="A2" s="281"/>
    </row>
    <row r="3" spans="1:9" ht="15.95" customHeight="1">
      <c r="B3" s="495" t="s">
        <v>310</v>
      </c>
      <c r="C3" s="804" t="str">
        <f>'財産集計（入力シート） '!I1</f>
        <v>小林幸太郎</v>
      </c>
      <c r="D3" s="804"/>
      <c r="E3" s="498" t="s">
        <v>323</v>
      </c>
      <c r="F3" s="499" t="s">
        <v>385</v>
      </c>
      <c r="G3" s="499" t="s">
        <v>324</v>
      </c>
      <c r="H3" s="499" t="s">
        <v>325</v>
      </c>
      <c r="I3" s="500" t="s">
        <v>388</v>
      </c>
    </row>
    <row r="4" spans="1:9" ht="15.95" customHeight="1" thickBot="1">
      <c r="B4" s="496" t="s">
        <v>311</v>
      </c>
      <c r="C4" s="805" t="str">
        <f>'財産集計（入力シート） '!I3</f>
        <v>杉並区荻窪1丁目2番14号</v>
      </c>
      <c r="D4" s="805"/>
      <c r="E4" s="501" t="s">
        <v>238</v>
      </c>
      <c r="F4" s="263" t="str">
        <f>'財産集計（入力シート） '!M3</f>
        <v>平成22. 3. 1</v>
      </c>
      <c r="G4" s="263" t="str">
        <f>'財産集計（入力シート） '!N3</f>
        <v>平成20.12.26.</v>
      </c>
      <c r="H4" s="263" t="str">
        <f>IF('財産集計（入力シート） '!O3=0,"",'財産集計（入力シート） '!O3)</f>
        <v/>
      </c>
      <c r="I4" s="247" t="str">
        <f>IF('財産集計（入力シート） '!P3=0,"",'財産集計（入力シート） '!P3)</f>
        <v/>
      </c>
    </row>
    <row r="5" spans="1:9" ht="15.95" customHeight="1" thickBot="1">
      <c r="B5" s="497" t="s">
        <v>312</v>
      </c>
      <c r="C5" s="806" t="str">
        <f>'財産集計（入力シート） '!I4</f>
        <v>03-5397-3343</v>
      </c>
      <c r="D5" s="807"/>
      <c r="E5" s="480"/>
      <c r="F5" s="480"/>
      <c r="G5" s="480"/>
      <c r="H5" s="480"/>
      <c r="I5" s="480"/>
    </row>
    <row r="6" spans="1:9" ht="15.95" customHeight="1">
      <c r="A6" s="282" t="s">
        <v>146</v>
      </c>
      <c r="B6" s="303"/>
      <c r="C6" s="303"/>
      <c r="D6" s="303"/>
      <c r="E6" s="303"/>
      <c r="F6" s="303"/>
      <c r="G6" s="303"/>
      <c r="H6" s="303"/>
      <c r="I6" s="303"/>
    </row>
    <row r="7" spans="1:9" ht="15.95" customHeight="1" thickBot="1">
      <c r="A7" s="818" t="s">
        <v>495</v>
      </c>
      <c r="B7" s="818"/>
      <c r="F7" s="284" t="s">
        <v>155</v>
      </c>
    </row>
    <row r="8" spans="1:9" ht="15.95" customHeight="1" thickBot="1">
      <c r="A8" s="285"/>
      <c r="B8" s="285"/>
    </row>
    <row r="9" spans="1:9" ht="15.95" customHeight="1" thickBot="1">
      <c r="A9" s="286" t="s">
        <v>492</v>
      </c>
      <c r="B9" s="287" t="s">
        <v>148</v>
      </c>
      <c r="C9" s="282" t="str">
        <f>'税額計算（出力シート） '!D4</f>
        <v>配  偶  者</v>
      </c>
      <c r="D9" s="282" t="str">
        <f>'税額計算（出力シート） '!E4</f>
        <v>扶養・特例非上場株</v>
      </c>
      <c r="E9" s="282" t="str">
        <f>'税額計算（出力シート） '!F4</f>
        <v>未　成　年　者</v>
      </c>
      <c r="F9" s="282" t="str">
        <f>'税額計算（出力シート） '!G4</f>
        <v>障　害　者</v>
      </c>
      <c r="G9" s="282" t="str">
        <f>'税額計算（出力シート） '!H4</f>
        <v>二　割　加　算　者</v>
      </c>
      <c r="H9" s="282" t="str">
        <f>'税額計算（出力シート） '!I4</f>
        <v>一 般 (子)</v>
      </c>
      <c r="I9" s="282" t="s">
        <v>308</v>
      </c>
    </row>
    <row r="10" spans="1:9" ht="15.95" customHeight="1">
      <c r="A10" s="288" t="s">
        <v>147</v>
      </c>
      <c r="B10" s="287" t="str">
        <f>'財産集計（入力シート） '!H1</f>
        <v>被相続人氏名</v>
      </c>
      <c r="C10" s="287" t="s">
        <v>149</v>
      </c>
      <c r="D10" s="287" t="s">
        <v>150</v>
      </c>
      <c r="E10" s="287" t="s">
        <v>151</v>
      </c>
      <c r="F10" s="287" t="s">
        <v>152</v>
      </c>
      <c r="G10" s="287" t="s">
        <v>153</v>
      </c>
      <c r="H10" s="287" t="s">
        <v>154</v>
      </c>
      <c r="I10" s="289" t="s">
        <v>384</v>
      </c>
    </row>
    <row r="11" spans="1:9" ht="15.95" customHeight="1">
      <c r="A11" s="288" t="s">
        <v>617</v>
      </c>
      <c r="B11" s="627" t="str">
        <f>IF('財産集計（入力シート） '!I1=0,"",'財産集計（入力シート） '!I1)</f>
        <v>小林幸太郎</v>
      </c>
      <c r="C11" s="628" t="str">
        <f>IF('財産集計（入力シート） '!D7=0,"",'財産集計（入力シート） '!D7)</f>
        <v>小林洋子</v>
      </c>
      <c r="D11" s="628" t="str">
        <f>IF('財産集計（入力シート） '!E7=0,"",'財産集計（入力シート） '!E7)</f>
        <v>小林智子</v>
      </c>
      <c r="E11" s="628" t="str">
        <f>IF('財産集計（入力シート） '!F7=0,"",'財産集計（入力シート） '!F7)</f>
        <v>小林尊琉</v>
      </c>
      <c r="F11" s="628" t="str">
        <f>IF('財産集計（入力シート） '!G7=0,"",'財産集計（入力シート） '!G7)</f>
        <v>小林二郎</v>
      </c>
      <c r="G11" s="628" t="str">
        <f>IF('財産集計（入力シート） '!H7=0,"",'財産集計（入力シート） '!H7)</f>
        <v>佐藤英理</v>
      </c>
      <c r="H11" s="628" t="str">
        <f>IF('財産集計（入力シート） '!I7=0,"",'財産集計（入力シート） '!I7)</f>
        <v>小林　円</v>
      </c>
      <c r="I11" s="290"/>
    </row>
    <row r="12" spans="1:9" ht="15.95" customHeight="1">
      <c r="A12" s="259" t="s">
        <v>358</v>
      </c>
      <c r="B12" s="205">
        <f t="shared" ref="B12:B17" si="0">SUM(C12:I12)</f>
        <v>1367869911</v>
      </c>
      <c r="C12" s="205">
        <f>'財産集計（入力シート） '!D36+'財産集計（入力シート） '!D37</f>
        <v>397765576</v>
      </c>
      <c r="D12" s="205">
        <f>'財産集計（入力シート） '!E36+'財産集計（入力シート） '!E37</f>
        <v>113000000</v>
      </c>
      <c r="E12" s="205">
        <f>'財産集計（入力シート） '!F36+'財産集計（入力シート） '!F37</f>
        <v>357193757</v>
      </c>
      <c r="F12" s="205">
        <f>'財産集計（入力シート） '!G36+'財産集計（入力シート） '!G37</f>
        <v>258260174</v>
      </c>
      <c r="G12" s="205">
        <f>'財産集計（入力シート） '!H36+'財産集計（入力シート） '!H37</f>
        <v>73995419</v>
      </c>
      <c r="H12" s="205">
        <f>'財産集計（入力シート） '!I36+'財産集計（入力シート） '!I37</f>
        <v>167654985</v>
      </c>
      <c r="I12" s="260">
        <f t="shared" ref="I12:I17" si="1">SUM(B44:I44)</f>
        <v>0</v>
      </c>
    </row>
    <row r="13" spans="1:9" ht="15.95" customHeight="1">
      <c r="A13" s="259" t="s">
        <v>360</v>
      </c>
      <c r="B13" s="205">
        <f t="shared" si="0"/>
        <v>80000000</v>
      </c>
      <c r="C13" s="205">
        <f>'財産集計（入力シート） '!D38+'財産集計（入力シート） '!D39</f>
        <v>0</v>
      </c>
      <c r="D13" s="205">
        <f>'財産集計（入力シート） '!E38+'財産集計（入力シート） '!E39</f>
        <v>50000000</v>
      </c>
      <c r="E13" s="205">
        <f>'財産集計（入力シート） '!F38+'財産集計（入力シート） '!F39</f>
        <v>0</v>
      </c>
      <c r="F13" s="205">
        <f>'財産集計（入力シート） '!G38+'財産集計（入力シート） '!G39</f>
        <v>30000000</v>
      </c>
      <c r="G13" s="205">
        <f>'財産集計（入力シート） '!H38+'財産集計（入力シート） '!H39</f>
        <v>0</v>
      </c>
      <c r="H13" s="205">
        <f>'財産集計（入力シート） '!I38+'財産集計（入力シート） '!I39</f>
        <v>0</v>
      </c>
      <c r="I13" s="260">
        <f t="shared" si="1"/>
        <v>0</v>
      </c>
    </row>
    <row r="14" spans="1:9" ht="15.95" customHeight="1">
      <c r="A14" s="259" t="s">
        <v>359</v>
      </c>
      <c r="B14" s="205">
        <f t="shared" si="0"/>
        <v>27960952</v>
      </c>
      <c r="C14" s="205">
        <f>'財産集計（入力シート） '!D42+'財産集計（入力シート） '!D43</f>
        <v>27960952</v>
      </c>
      <c r="D14" s="205">
        <f>'財産集計（入力シート） '!E42+'財産集計（入力シート） '!E43</f>
        <v>0</v>
      </c>
      <c r="E14" s="205">
        <f>'財産集計（入力シート） '!F42+'財産集計（入力シート） '!F43</f>
        <v>0</v>
      </c>
      <c r="F14" s="205">
        <f>'財産集計（入力シート） '!G42+'財産集計（入力シート） '!G43</f>
        <v>0</v>
      </c>
      <c r="G14" s="205">
        <f>'財産集計（入力シート） '!H42+'財産集計（入力シート） '!H43</f>
        <v>0</v>
      </c>
      <c r="H14" s="205">
        <f>'財産集計（入力シート） '!I42+'財産集計（入力シート） '!I43</f>
        <v>0</v>
      </c>
      <c r="I14" s="260">
        <f t="shared" si="1"/>
        <v>0</v>
      </c>
    </row>
    <row r="15" spans="1:9" ht="15.95" customHeight="1">
      <c r="A15" s="259" t="s">
        <v>361</v>
      </c>
      <c r="B15" s="205">
        <f t="shared" si="0"/>
        <v>1419908959</v>
      </c>
      <c r="C15" s="205">
        <f>'財産集計（入力シート） '!D44</f>
        <v>369804624</v>
      </c>
      <c r="D15" s="205">
        <f>'財産集計（入力シート） '!E44</f>
        <v>163000000</v>
      </c>
      <c r="E15" s="205">
        <f>'財産集計（入力シート） '!F44</f>
        <v>357193757</v>
      </c>
      <c r="F15" s="205">
        <f>'財産集計（入力シート） '!G44</f>
        <v>288260174</v>
      </c>
      <c r="G15" s="205">
        <f>'財産集計（入力シート） '!H44</f>
        <v>73995419</v>
      </c>
      <c r="H15" s="205">
        <f>'財産集計（入力シート） '!I44</f>
        <v>167654985</v>
      </c>
      <c r="I15" s="260">
        <f t="shared" si="1"/>
        <v>0</v>
      </c>
    </row>
    <row r="16" spans="1:9" ht="15.95" customHeight="1">
      <c r="A16" s="259" t="s">
        <v>362</v>
      </c>
      <c r="B16" s="205">
        <f t="shared" si="0"/>
        <v>30000000</v>
      </c>
      <c r="C16" s="205">
        <f>'財産集計（入力シート） '!D45+'財産集計（入力シート） '!D46</f>
        <v>30000000</v>
      </c>
      <c r="D16" s="205">
        <f>'財産集計（入力シート） '!E45+'財産集計（入力シート） '!E46</f>
        <v>0</v>
      </c>
      <c r="E16" s="205">
        <f>'財産集計（入力シート） '!F45+'財産集計（入力シート） '!F46</f>
        <v>0</v>
      </c>
      <c r="F16" s="205">
        <f>'財産集計（入力シート） '!G45+'財産集計（入力シート） '!G46</f>
        <v>0</v>
      </c>
      <c r="G16" s="205">
        <f>'財産集計（入力シート） '!H45+'財産集計（入力シート） '!H46</f>
        <v>0</v>
      </c>
      <c r="H16" s="205">
        <f>'財産集計（入力シート） '!I45+'財産集計（入力シート） '!I46</f>
        <v>0</v>
      </c>
      <c r="I16" s="260">
        <f t="shared" si="1"/>
        <v>0</v>
      </c>
    </row>
    <row r="17" spans="1:9" ht="15.95" customHeight="1">
      <c r="A17" s="259" t="s">
        <v>363</v>
      </c>
      <c r="B17" s="205">
        <f t="shared" si="0"/>
        <v>1449906000</v>
      </c>
      <c r="C17" s="205">
        <f>'税額計算（出力シート） '!D6</f>
        <v>399804000</v>
      </c>
      <c r="D17" s="205">
        <f>'税額計算（出力シート） '!E6</f>
        <v>163000000</v>
      </c>
      <c r="E17" s="205">
        <f>'税額計算（出力シート） '!F6</f>
        <v>357193000</v>
      </c>
      <c r="F17" s="205">
        <f>'税額計算（出力シート） '!G6</f>
        <v>288260000</v>
      </c>
      <c r="G17" s="205">
        <f>'税額計算（出力シート） '!H6</f>
        <v>73995000</v>
      </c>
      <c r="H17" s="205">
        <f>'税額計算（出力シート） '!I6</f>
        <v>167654000</v>
      </c>
      <c r="I17" s="260">
        <f t="shared" si="1"/>
        <v>0</v>
      </c>
    </row>
    <row r="18" spans="1:9" ht="15.95" customHeight="1">
      <c r="A18" s="259" t="s">
        <v>309</v>
      </c>
      <c r="B18" s="205">
        <f>D117</f>
        <v>5</v>
      </c>
      <c r="C18" s="291"/>
      <c r="D18" s="291"/>
      <c r="E18" s="291"/>
      <c r="F18" s="291"/>
      <c r="G18" s="291"/>
      <c r="H18" s="291"/>
      <c r="I18" s="292"/>
    </row>
    <row r="19" spans="1:9" ht="15.95" customHeight="1">
      <c r="A19" s="259" t="s">
        <v>127</v>
      </c>
      <c r="B19" s="205">
        <f>D118</f>
        <v>100000000</v>
      </c>
      <c r="C19" s="291"/>
      <c r="D19" s="291"/>
      <c r="E19" s="291"/>
      <c r="F19" s="291"/>
      <c r="G19" s="291"/>
      <c r="H19" s="291"/>
      <c r="I19" s="292"/>
    </row>
    <row r="20" spans="1:9" ht="15.95" customHeight="1">
      <c r="A20" s="259" t="s">
        <v>364</v>
      </c>
      <c r="B20" s="205">
        <f>E140</f>
        <v>492456900</v>
      </c>
      <c r="C20" s="291"/>
      <c r="D20" s="291"/>
      <c r="E20" s="291"/>
      <c r="F20" s="291"/>
      <c r="G20" s="291"/>
      <c r="H20" s="291"/>
      <c r="I20" s="292"/>
    </row>
    <row r="21" spans="1:9" ht="15.95" customHeight="1">
      <c r="A21" s="259" t="s">
        <v>365</v>
      </c>
      <c r="B21" s="343">
        <f>SUM(C21:I21)</f>
        <v>1</v>
      </c>
      <c r="C21" s="343">
        <f>'税額計算（出力シート） '!D27</f>
        <v>0.27579999999999993</v>
      </c>
      <c r="D21" s="343">
        <f>'税額計算（出力シート） '!E27</f>
        <v>0.1124</v>
      </c>
      <c r="E21" s="343">
        <f>'税額計算（出力シート） '!F27</f>
        <v>0.24640000000000001</v>
      </c>
      <c r="F21" s="343">
        <f>'税額計算（出力シート） '!G27</f>
        <v>0.1988</v>
      </c>
      <c r="G21" s="343">
        <f>'税額計算（出力シート） '!H27</f>
        <v>5.0999999999999997E-2</v>
      </c>
      <c r="H21" s="343">
        <f>'税額計算（出力シート） '!I27</f>
        <v>0.11559999999999999</v>
      </c>
      <c r="I21" s="493">
        <f>SUM(B53:I53)</f>
        <v>0</v>
      </c>
    </row>
    <row r="22" spans="1:9" ht="15.95" customHeight="1">
      <c r="A22" s="259" t="s">
        <v>366</v>
      </c>
      <c r="B22" s="205">
        <f>SUM(C22:I22)</f>
        <v>492456901</v>
      </c>
      <c r="C22" s="205">
        <f>'税額計算（出力シート） '!D28</f>
        <v>135819613</v>
      </c>
      <c r="D22" s="205">
        <f>'税額計算（出力シート） '!E28</f>
        <v>55352156</v>
      </c>
      <c r="E22" s="205">
        <f>'税額計算（出力シート） '!F28</f>
        <v>121341380</v>
      </c>
      <c r="F22" s="205">
        <f>'税額計算（出力シート） '!G28</f>
        <v>97900432</v>
      </c>
      <c r="G22" s="205">
        <f>'税額計算（出力シート） '!H28</f>
        <v>25115302</v>
      </c>
      <c r="H22" s="205">
        <f>'税額計算（出力シート） '!I28</f>
        <v>56928018</v>
      </c>
      <c r="I22" s="260">
        <f>SUM(B54:I54)</f>
        <v>0</v>
      </c>
    </row>
    <row r="23" spans="1:9" ht="15.95" customHeight="1">
      <c r="A23" s="259" t="s">
        <v>367</v>
      </c>
      <c r="B23" s="205">
        <f>SUM(C23:I23)</f>
        <v>0</v>
      </c>
      <c r="C23" s="205"/>
      <c r="D23" s="205"/>
      <c r="E23" s="205"/>
      <c r="F23" s="205"/>
      <c r="G23" s="205"/>
      <c r="H23" s="205"/>
      <c r="I23" s="260">
        <f t="shared" ref="I23:I37" si="2">SUM(B55:I55)</f>
        <v>0</v>
      </c>
    </row>
    <row r="24" spans="1:9" ht="15.95" customHeight="1">
      <c r="A24" s="259" t="s">
        <v>368</v>
      </c>
      <c r="B24" s="205">
        <f t="shared" ref="B24:B31" si="3">SUM(C24:I24)</f>
        <v>5023060</v>
      </c>
      <c r="C24" s="205"/>
      <c r="D24" s="205"/>
      <c r="E24" s="205"/>
      <c r="F24" s="205"/>
      <c r="G24" s="205">
        <f>'税額計算（出力シート） '!H31</f>
        <v>5023060</v>
      </c>
      <c r="H24" s="205"/>
      <c r="I24" s="260">
        <f t="shared" si="2"/>
        <v>0</v>
      </c>
    </row>
    <row r="25" spans="1:9" ht="15.95" customHeight="1">
      <c r="A25" s="259" t="s">
        <v>369</v>
      </c>
      <c r="B25" s="205">
        <f t="shared" si="3"/>
        <v>6930000</v>
      </c>
      <c r="C25" s="205">
        <f>'税額計算（出力シート） '!D32</f>
        <v>6930000</v>
      </c>
      <c r="D25" s="205">
        <f>'税額計算（出力シート） '!E32</f>
        <v>0</v>
      </c>
      <c r="E25" s="205">
        <f>'税額計算（出力シート） '!F32</f>
        <v>0</v>
      </c>
      <c r="F25" s="205">
        <f>'税額計算（出力シート） '!G32</f>
        <v>0</v>
      </c>
      <c r="G25" s="205">
        <f>'税額計算（出力シート） '!H32</f>
        <v>0</v>
      </c>
      <c r="H25" s="205">
        <f>'税額計算（出力シート） '!I32</f>
        <v>0</v>
      </c>
      <c r="I25" s="260">
        <f t="shared" si="2"/>
        <v>0</v>
      </c>
    </row>
    <row r="26" spans="1:9" ht="15.95" customHeight="1">
      <c r="A26" s="259" t="s">
        <v>370</v>
      </c>
      <c r="B26" s="205">
        <f t="shared" si="3"/>
        <v>128889613</v>
      </c>
      <c r="C26" s="205">
        <f>'税額計算（出力シート） '!D33</f>
        <v>128889613</v>
      </c>
      <c r="D26" s="205"/>
      <c r="E26" s="205"/>
      <c r="F26" s="205"/>
      <c r="G26" s="205"/>
      <c r="H26" s="205"/>
      <c r="I26" s="260">
        <f t="shared" si="2"/>
        <v>0</v>
      </c>
    </row>
    <row r="27" spans="1:9" ht="15.95" customHeight="1">
      <c r="A27" s="259" t="s">
        <v>371</v>
      </c>
      <c r="B27" s="205">
        <f t="shared" si="3"/>
        <v>180000</v>
      </c>
      <c r="C27" s="205">
        <f>'税額計算（出力シート） '!D34</f>
        <v>0</v>
      </c>
      <c r="D27" s="205">
        <f>'税額計算（出力シート） '!E34</f>
        <v>0</v>
      </c>
      <c r="E27" s="205">
        <f>'税額計算（出力シート） '!F34</f>
        <v>180000</v>
      </c>
      <c r="F27" s="205">
        <f>'税額計算（出力シート） '!G34</f>
        <v>0</v>
      </c>
      <c r="G27" s="205">
        <f>'税額計算（出力シート） '!H34</f>
        <v>0</v>
      </c>
      <c r="H27" s="205">
        <f>'税額計算（出力シート） '!I34</f>
        <v>0</v>
      </c>
      <c r="I27" s="260">
        <f t="shared" si="2"/>
        <v>0</v>
      </c>
    </row>
    <row r="28" spans="1:9" ht="15.95" customHeight="1">
      <c r="A28" s="259" t="s">
        <v>372</v>
      </c>
      <c r="B28" s="205">
        <f t="shared" si="3"/>
        <v>5280000</v>
      </c>
      <c r="C28" s="205"/>
      <c r="D28" s="205"/>
      <c r="E28" s="205"/>
      <c r="F28" s="205">
        <f>'税額計算（出力シート） '!G35</f>
        <v>5280000</v>
      </c>
      <c r="G28" s="205"/>
      <c r="H28" s="205"/>
      <c r="I28" s="260">
        <f t="shared" si="2"/>
        <v>0</v>
      </c>
    </row>
    <row r="29" spans="1:9" ht="15.95" customHeight="1">
      <c r="A29" s="259" t="s">
        <v>373</v>
      </c>
      <c r="B29" s="205">
        <f t="shared" si="3"/>
        <v>4998546</v>
      </c>
      <c r="C29" s="205">
        <f>'税額計算（出力シート） '!D37</f>
        <v>1562655</v>
      </c>
      <c r="D29" s="205">
        <f>'税額計算（出力シート） '!E37</f>
        <v>0</v>
      </c>
      <c r="E29" s="205">
        <f>'税額計算（出力シート） '!F37</f>
        <v>1509366</v>
      </c>
      <c r="F29" s="205">
        <f>'税額計算（出力シート） '!G37</f>
        <v>1218078</v>
      </c>
      <c r="G29" s="205">
        <f>'税額計算（出力シート） '!H37</f>
        <v>0</v>
      </c>
      <c r="H29" s="205">
        <f>'税額計算（出力シート） '!I37</f>
        <v>708447</v>
      </c>
      <c r="I29" s="260">
        <f t="shared" si="2"/>
        <v>0</v>
      </c>
    </row>
    <row r="30" spans="1:9" ht="15.95" customHeight="1">
      <c r="A30" s="259" t="s">
        <v>374</v>
      </c>
      <c r="B30" s="205">
        <f t="shared" si="3"/>
        <v>1769600</v>
      </c>
      <c r="C30" s="205">
        <f>'税額計算（出力シート） '!D38</f>
        <v>0</v>
      </c>
      <c r="D30" s="205">
        <f>'税額計算（出力シート） '!E38</f>
        <v>0</v>
      </c>
      <c r="E30" s="205">
        <f>'税額計算（出力シート） '!F38</f>
        <v>1120000</v>
      </c>
      <c r="F30" s="205">
        <f>'税額計算（出力シート） '!G38</f>
        <v>0</v>
      </c>
      <c r="G30" s="205">
        <f>'税額計算（出力シート） '!H38</f>
        <v>649600</v>
      </c>
      <c r="H30" s="205">
        <f>'税額計算（出力シート） '!I38</f>
        <v>0</v>
      </c>
      <c r="I30" s="260">
        <f t="shared" si="2"/>
        <v>0</v>
      </c>
    </row>
    <row r="31" spans="1:9" ht="15.95" customHeight="1">
      <c r="A31" s="259" t="s">
        <v>375</v>
      </c>
      <c r="B31" s="205">
        <f t="shared" si="3"/>
        <v>148047759</v>
      </c>
      <c r="C31" s="205">
        <f t="shared" ref="C31:H31" si="4">SUM(C25:C30)</f>
        <v>137382268</v>
      </c>
      <c r="D31" s="205">
        <f t="shared" si="4"/>
        <v>0</v>
      </c>
      <c r="E31" s="205">
        <f t="shared" si="4"/>
        <v>2809366</v>
      </c>
      <c r="F31" s="205">
        <f t="shared" si="4"/>
        <v>6498078</v>
      </c>
      <c r="G31" s="205">
        <f t="shared" si="4"/>
        <v>649600</v>
      </c>
      <c r="H31" s="205">
        <f t="shared" si="4"/>
        <v>708447</v>
      </c>
      <c r="I31" s="260">
        <f t="shared" si="2"/>
        <v>0</v>
      </c>
    </row>
    <row r="32" spans="1:9" ht="15.95" customHeight="1">
      <c r="A32" s="259" t="s">
        <v>376</v>
      </c>
      <c r="B32" s="205">
        <f t="shared" ref="B32:B37" si="5">SUM(C32:I32)</f>
        <v>350994857</v>
      </c>
      <c r="C32" s="205">
        <f t="shared" ref="C32:H32" si="6">IF(C22+C24-C31&lt;0,0,C22+C24-C31)</f>
        <v>0</v>
      </c>
      <c r="D32" s="205">
        <f t="shared" si="6"/>
        <v>55352156</v>
      </c>
      <c r="E32" s="205">
        <f t="shared" si="6"/>
        <v>118532014</v>
      </c>
      <c r="F32" s="205">
        <f t="shared" si="6"/>
        <v>91402354</v>
      </c>
      <c r="G32" s="205">
        <f t="shared" si="6"/>
        <v>29488762</v>
      </c>
      <c r="H32" s="205">
        <f t="shared" si="6"/>
        <v>56219571</v>
      </c>
      <c r="I32" s="260">
        <f t="shared" si="2"/>
        <v>0</v>
      </c>
    </row>
    <row r="33" spans="1:9" ht="15.95" customHeight="1">
      <c r="A33" s="259" t="s">
        <v>377</v>
      </c>
      <c r="B33" s="205">
        <f t="shared" si="5"/>
        <v>4000000</v>
      </c>
      <c r="C33" s="205">
        <f>'税額計算（出力シート） '!D41</f>
        <v>0</v>
      </c>
      <c r="D33" s="205">
        <f>'税額計算（出力シート） '!E41</f>
        <v>3000000</v>
      </c>
      <c r="E33" s="205">
        <f>'税額計算（出力シート） '!F41</f>
        <v>0</v>
      </c>
      <c r="F33" s="205">
        <f>'税額計算（出力シート） '!G41</f>
        <v>1000000</v>
      </c>
      <c r="G33" s="205">
        <f>'税額計算（出力シート） '!H41</f>
        <v>0</v>
      </c>
      <c r="H33" s="205">
        <f>'税額計算（出力シート） '!I41</f>
        <v>0</v>
      </c>
      <c r="I33" s="260">
        <f t="shared" si="2"/>
        <v>0</v>
      </c>
    </row>
    <row r="34" spans="1:9" ht="15.95" customHeight="1">
      <c r="A34" s="259" t="s">
        <v>378</v>
      </c>
      <c r="B34" s="205">
        <f t="shared" si="5"/>
        <v>346994600</v>
      </c>
      <c r="C34" s="205">
        <f t="shared" ref="C34:H34" si="7">IF(C32-C33&gt;0,ROUNDDOWN((C32-C33),-2),C32-C33)</f>
        <v>0</v>
      </c>
      <c r="D34" s="205">
        <f t="shared" si="7"/>
        <v>52352100</v>
      </c>
      <c r="E34" s="205">
        <f t="shared" si="7"/>
        <v>118532000</v>
      </c>
      <c r="F34" s="205">
        <f t="shared" si="7"/>
        <v>90402300</v>
      </c>
      <c r="G34" s="205">
        <f t="shared" si="7"/>
        <v>29488700</v>
      </c>
      <c r="H34" s="205">
        <f t="shared" si="7"/>
        <v>56219500</v>
      </c>
      <c r="I34" s="260">
        <f t="shared" si="2"/>
        <v>0</v>
      </c>
    </row>
    <row r="35" spans="1:9" ht="15.95" customHeight="1">
      <c r="A35" s="259" t="s">
        <v>379</v>
      </c>
      <c r="B35" s="205">
        <f t="shared" si="5"/>
        <v>0</v>
      </c>
      <c r="C35" s="205">
        <f>'税額計算（出力シート） '!D42</f>
        <v>0</v>
      </c>
      <c r="D35" s="205">
        <f>'税額計算（出力シート） '!E42</f>
        <v>0</v>
      </c>
      <c r="E35" s="205">
        <f>'税額計算（出力シート） '!F42</f>
        <v>0</v>
      </c>
      <c r="F35" s="205">
        <f>'税額計算（出力シート） '!G42</f>
        <v>0</v>
      </c>
      <c r="G35" s="205">
        <f>'税額計算（出力シート） '!H42</f>
        <v>0</v>
      </c>
      <c r="H35" s="205">
        <f>'税額計算（出力シート） '!I42</f>
        <v>0</v>
      </c>
      <c r="I35" s="260">
        <f t="shared" si="2"/>
        <v>0</v>
      </c>
    </row>
    <row r="36" spans="1:9" ht="15.95" customHeight="1">
      <c r="A36" s="259" t="s">
        <v>380</v>
      </c>
      <c r="B36" s="205">
        <f t="shared" si="5"/>
        <v>346994600</v>
      </c>
      <c r="C36" s="205">
        <f t="shared" ref="C36:H36" si="8">IF(C34-C35&gt;0,ROUNDDOWN((C34-C35),-2),0)</f>
        <v>0</v>
      </c>
      <c r="D36" s="205">
        <f t="shared" si="8"/>
        <v>52352100</v>
      </c>
      <c r="E36" s="205">
        <f t="shared" si="8"/>
        <v>118532000</v>
      </c>
      <c r="F36" s="205">
        <f t="shared" si="8"/>
        <v>90402300</v>
      </c>
      <c r="G36" s="205">
        <f t="shared" si="8"/>
        <v>29488700</v>
      </c>
      <c r="H36" s="205">
        <f t="shared" si="8"/>
        <v>56219500</v>
      </c>
      <c r="I36" s="260">
        <f t="shared" si="2"/>
        <v>0</v>
      </c>
    </row>
    <row r="37" spans="1:9" ht="15.95" customHeight="1" thickBot="1">
      <c r="A37" s="261" t="s">
        <v>381</v>
      </c>
      <c r="B37" s="294">
        <f t="shared" si="5"/>
        <v>0</v>
      </c>
      <c r="C37" s="294">
        <f t="shared" ref="C37:H37" si="9">IF(C34-C35&lt;0,(C35-C34)*-1,0)</f>
        <v>0</v>
      </c>
      <c r="D37" s="294">
        <f t="shared" si="9"/>
        <v>0</v>
      </c>
      <c r="E37" s="294">
        <f t="shared" si="9"/>
        <v>0</v>
      </c>
      <c r="F37" s="294">
        <f t="shared" si="9"/>
        <v>0</v>
      </c>
      <c r="G37" s="294">
        <f t="shared" si="9"/>
        <v>0</v>
      </c>
      <c r="H37" s="294">
        <f t="shared" si="9"/>
        <v>0</v>
      </c>
      <c r="I37" s="302">
        <f t="shared" si="2"/>
        <v>0</v>
      </c>
    </row>
    <row r="38" spans="1:9" ht="15.95" customHeight="1">
      <c r="A38" s="331"/>
      <c r="B38" s="332"/>
      <c r="C38" s="332"/>
      <c r="D38" s="332"/>
      <c r="E38" s="332"/>
      <c r="F38" s="332"/>
      <c r="G38" s="332"/>
      <c r="H38" s="332"/>
      <c r="I38" s="332"/>
    </row>
    <row r="39" spans="1:9" ht="15.95" customHeight="1">
      <c r="A39" s="282" t="s">
        <v>146</v>
      </c>
      <c r="B39" s="295"/>
      <c r="C39" s="295"/>
      <c r="D39" s="295"/>
      <c r="E39" s="295"/>
      <c r="F39" s="295"/>
      <c r="G39" s="295"/>
      <c r="H39" s="295"/>
    </row>
    <row r="40" spans="1:9" ht="15.95" customHeight="1" thickBot="1">
      <c r="B40" s="295"/>
      <c r="C40" s="295"/>
      <c r="D40" s="295"/>
      <c r="E40" s="295"/>
      <c r="F40" s="295"/>
      <c r="G40" s="295"/>
      <c r="H40" s="295"/>
    </row>
    <row r="41" spans="1:9" ht="15.95" customHeight="1">
      <c r="A41" s="286" t="s">
        <v>492</v>
      </c>
      <c r="B41" s="296" t="str">
        <f>'税額計算（出力シート） '!J4</f>
        <v>一  般　(子・親)</v>
      </c>
      <c r="C41" s="296" t="str">
        <f>'税額計算（出力シート） '!K4</f>
        <v>一 般 (子)</v>
      </c>
      <c r="D41" s="296" t="str">
        <f>'税額計算（出力シート） '!L4</f>
        <v>一  般　(子・親)</v>
      </c>
      <c r="E41" s="296" t="str">
        <f>'税額計算（出力シート） '!M4</f>
        <v>一  般　(子・親)</v>
      </c>
      <c r="F41" s="296" t="str">
        <f>'税額計算（出力シート） '!N4</f>
        <v>一般(子・兄弟姉妹)</v>
      </c>
      <c r="G41" s="296" t="str">
        <f>'税額計算（出力シート） '!O4</f>
        <v>一般(子・兄弟姉妹)</v>
      </c>
      <c r="H41" s="296" t="str">
        <f>'税額計算（出力シート） '!P4</f>
        <v>一般(子・兄弟姉妹)</v>
      </c>
      <c r="I41" s="297" t="str">
        <f>'税額計算（出力シート） '!Q4</f>
        <v>一般(子・兄弟姉妹)</v>
      </c>
    </row>
    <row r="42" spans="1:9" s="300" customFormat="1" ht="15.95" customHeight="1">
      <c r="A42" s="288" t="s">
        <v>147</v>
      </c>
      <c r="B42" s="369" t="s">
        <v>156</v>
      </c>
      <c r="C42" s="369" t="s">
        <v>157</v>
      </c>
      <c r="D42" s="369" t="s">
        <v>158</v>
      </c>
      <c r="E42" s="369" t="s">
        <v>159</v>
      </c>
      <c r="F42" s="369" t="s">
        <v>306</v>
      </c>
      <c r="G42" s="369" t="s">
        <v>307</v>
      </c>
      <c r="H42" s="369" t="s">
        <v>382</v>
      </c>
      <c r="I42" s="494" t="s">
        <v>383</v>
      </c>
    </row>
    <row r="43" spans="1:9" s="300" customFormat="1" ht="15.95" customHeight="1">
      <c r="A43" s="288" t="s">
        <v>623</v>
      </c>
      <c r="B43" s="298" t="str">
        <f>IF('財産集計（入力シート） '!J7=0,"",'財産集計（入力シート） '!J7)</f>
        <v/>
      </c>
      <c r="C43" s="298" t="str">
        <f>IF('財産集計（入力シート） '!K7=0,"",'財産集計（入力シート） '!K7)</f>
        <v/>
      </c>
      <c r="D43" s="298" t="str">
        <f>IF('財産集計（入力シート） '!L7=0,"",'財産集計（入力シート） '!L7)</f>
        <v/>
      </c>
      <c r="E43" s="298" t="str">
        <f>IF('財産集計（入力シート） '!M7=0,"",'財産集計（入力シート） '!M7)</f>
        <v/>
      </c>
      <c r="F43" s="298" t="str">
        <f>IF('財産集計（入力シート） '!N7=0,"",'財産集計（入力シート） '!N7)</f>
        <v/>
      </c>
      <c r="G43" s="298" t="str">
        <f>IF('財産集計（入力シート） '!O7=0,"",'財産集計（入力シート） '!O7)</f>
        <v/>
      </c>
      <c r="H43" s="298" t="str">
        <f>IF('財産集計（入力シート） '!P7=0,"",'財産集計（入力シート） '!P7)</f>
        <v/>
      </c>
      <c r="I43" s="299" t="str">
        <f>IF('財産集計（入力シート） '!Q7=0,"",'財産集計（入力シート） '!Q7)</f>
        <v/>
      </c>
    </row>
    <row r="44" spans="1:9" ht="15.95" customHeight="1">
      <c r="A44" s="259" t="s">
        <v>358</v>
      </c>
      <c r="B44" s="205">
        <f>'財産集計（入力シート） '!J36+'財産集計（入力シート） '!J37</f>
        <v>0</v>
      </c>
      <c r="C44" s="205">
        <f>'財産集計（入力シート） '!K36+'財産集計（入力シート） '!K37</f>
        <v>0</v>
      </c>
      <c r="D44" s="205">
        <f>'財産集計（入力シート） '!L36+'財産集計（入力シート） '!L37</f>
        <v>0</v>
      </c>
      <c r="E44" s="205">
        <f>'財産集計（入力シート） '!M36+'財産集計（入力シート） '!M37</f>
        <v>0</v>
      </c>
      <c r="F44" s="205">
        <f>'財産集計（入力シート） '!N36+'財産集計（入力シート） '!N37</f>
        <v>0</v>
      </c>
      <c r="G44" s="205">
        <f>'財産集計（入力シート） '!O36+'財産集計（入力シート） '!O37</f>
        <v>0</v>
      </c>
      <c r="H44" s="205">
        <f>'財産集計（入力シート） '!P36+'財産集計（入力シート） '!P37</f>
        <v>0</v>
      </c>
      <c r="I44" s="260">
        <f>'財産集計（入力シート） '!Q36+'財産集計（入力シート） '!Q37</f>
        <v>0</v>
      </c>
    </row>
    <row r="45" spans="1:9" ht="15.95" customHeight="1">
      <c r="A45" s="259" t="s">
        <v>360</v>
      </c>
      <c r="B45" s="205">
        <f>'財産集計（入力シート） '!J38+'財産集計（入力シート） '!J39</f>
        <v>0</v>
      </c>
      <c r="C45" s="205">
        <f>'財産集計（入力シート） '!K38+'財産集計（入力シート） '!K39</f>
        <v>0</v>
      </c>
      <c r="D45" s="205">
        <f>'財産集計（入力シート） '!L38+'財産集計（入力シート） '!L39</f>
        <v>0</v>
      </c>
      <c r="E45" s="205">
        <f>'財産集計（入力シート） '!M38+'財産集計（入力シート） '!M39</f>
        <v>0</v>
      </c>
      <c r="F45" s="205">
        <f>'財産集計（入力シート） '!N38+'財産集計（入力シート） '!N39</f>
        <v>0</v>
      </c>
      <c r="G45" s="205">
        <f>'財産集計（入力シート） '!O38+'財産集計（入力シート） '!O39</f>
        <v>0</v>
      </c>
      <c r="H45" s="205">
        <f>'財産集計（入力シート） '!P38+'財産集計（入力シート） '!P39</f>
        <v>0</v>
      </c>
      <c r="I45" s="260">
        <f>'財産集計（入力シート） '!Q38+'財産集計（入力シート） '!Q39</f>
        <v>0</v>
      </c>
    </row>
    <row r="46" spans="1:9" ht="15.95" customHeight="1">
      <c r="A46" s="259" t="s">
        <v>359</v>
      </c>
      <c r="B46" s="205">
        <f>'財産集計（入力シート） '!J42+'財産集計（入力シート） '!J43</f>
        <v>0</v>
      </c>
      <c r="C46" s="205">
        <f>'財産集計（入力シート） '!K42+'財産集計（入力シート） '!K43</f>
        <v>0</v>
      </c>
      <c r="D46" s="205">
        <f>'財産集計（入力シート） '!L42+'財産集計（入力シート） '!L43</f>
        <v>0</v>
      </c>
      <c r="E46" s="205">
        <f>'財産集計（入力シート） '!M42+'財産集計（入力シート） '!M43</f>
        <v>0</v>
      </c>
      <c r="F46" s="205">
        <f>'財産集計（入力シート） '!N42+'財産集計（入力シート） '!N43</f>
        <v>0</v>
      </c>
      <c r="G46" s="205">
        <f>'財産集計（入力シート） '!O42+'財産集計（入力シート） '!O43</f>
        <v>0</v>
      </c>
      <c r="H46" s="205">
        <f>'財産集計（入力シート） '!P42+'財産集計（入力シート） '!P43</f>
        <v>0</v>
      </c>
      <c r="I46" s="260">
        <f>'財産集計（入力シート） '!Q42+'財産集計（入力シート） '!Q43</f>
        <v>0</v>
      </c>
    </row>
    <row r="47" spans="1:9" ht="15.95" customHeight="1">
      <c r="A47" s="259" t="s">
        <v>361</v>
      </c>
      <c r="B47" s="205">
        <f>'財産集計（入力シート） '!J44</f>
        <v>0</v>
      </c>
      <c r="C47" s="205">
        <f>'財産集計（入力シート） '!K44</f>
        <v>0</v>
      </c>
      <c r="D47" s="205">
        <f>'財産集計（入力シート） '!L44</f>
        <v>0</v>
      </c>
      <c r="E47" s="205">
        <f>'財産集計（入力シート） '!M44</f>
        <v>0</v>
      </c>
      <c r="F47" s="205">
        <f>'財産集計（入力シート） '!N44</f>
        <v>0</v>
      </c>
      <c r="G47" s="205">
        <f>'財産集計（入力シート） '!O44</f>
        <v>0</v>
      </c>
      <c r="H47" s="205">
        <f>'財産集計（入力シート） '!P44</f>
        <v>0</v>
      </c>
      <c r="I47" s="260">
        <f>'財産集計（入力シート） '!Q44</f>
        <v>0</v>
      </c>
    </row>
    <row r="48" spans="1:9" ht="15.95" customHeight="1">
      <c r="A48" s="259" t="s">
        <v>362</v>
      </c>
      <c r="B48" s="205">
        <f>'財産集計（入力シート） '!J45+'財産集計（入力シート） '!J46</f>
        <v>0</v>
      </c>
      <c r="C48" s="205">
        <f>'財産集計（入力シート） '!K45+'財産集計（入力シート） '!K46</f>
        <v>0</v>
      </c>
      <c r="D48" s="205">
        <f>'財産集計（入力シート） '!L45+'財産集計（入力シート） '!L46</f>
        <v>0</v>
      </c>
      <c r="E48" s="205">
        <f>'財産集計（入力シート） '!M45+'財産集計（入力シート） '!M46</f>
        <v>0</v>
      </c>
      <c r="F48" s="205">
        <f>'財産集計（入力シート） '!N45+'財産集計（入力シート） '!N46</f>
        <v>0</v>
      </c>
      <c r="G48" s="205">
        <f>'財産集計（入力シート） '!O45+'財産集計（入力シート） '!O46</f>
        <v>0</v>
      </c>
      <c r="H48" s="205">
        <f>'財産集計（入力シート） '!P45+'財産集計（入力シート） '!P46</f>
        <v>0</v>
      </c>
      <c r="I48" s="260">
        <f>'財産集計（入力シート） '!Q45+'財産集計（入力シート） '!Q46</f>
        <v>0</v>
      </c>
    </row>
    <row r="49" spans="1:9" ht="15.95" customHeight="1">
      <c r="A49" s="259" t="s">
        <v>363</v>
      </c>
      <c r="B49" s="205">
        <f>'税額計算（出力シート） '!J6</f>
        <v>0</v>
      </c>
      <c r="C49" s="205">
        <f>'税額計算（出力シート） '!K6</f>
        <v>0</v>
      </c>
      <c r="D49" s="205">
        <f>'税額計算（出力シート） '!L6</f>
        <v>0</v>
      </c>
      <c r="E49" s="205">
        <f>'税額計算（出力シート） '!M6</f>
        <v>0</v>
      </c>
      <c r="F49" s="205">
        <f>'税額計算（出力シート） '!N6</f>
        <v>0</v>
      </c>
      <c r="G49" s="205">
        <f>'税額計算（出力シート） '!O6</f>
        <v>0</v>
      </c>
      <c r="H49" s="205">
        <f>'税額計算（出力シート） '!P6</f>
        <v>0</v>
      </c>
      <c r="I49" s="260">
        <f>'税額計算（出力シート） '!Q6</f>
        <v>0</v>
      </c>
    </row>
    <row r="50" spans="1:9" ht="15.95" customHeight="1">
      <c r="A50" s="259" t="s">
        <v>309</v>
      </c>
      <c r="B50" s="291"/>
      <c r="C50" s="291"/>
      <c r="D50" s="291"/>
      <c r="E50" s="291"/>
      <c r="F50" s="291"/>
      <c r="G50" s="291"/>
      <c r="H50" s="291"/>
      <c r="I50" s="292"/>
    </row>
    <row r="51" spans="1:9" ht="15.95" customHeight="1">
      <c r="A51" s="259" t="s">
        <v>127</v>
      </c>
      <c r="B51" s="291"/>
      <c r="C51" s="291"/>
      <c r="D51" s="291"/>
      <c r="E51" s="291"/>
      <c r="F51" s="291"/>
      <c r="G51" s="291"/>
      <c r="H51" s="291"/>
      <c r="I51" s="292"/>
    </row>
    <row r="52" spans="1:9" ht="15.95" customHeight="1">
      <c r="A52" s="259" t="s">
        <v>364</v>
      </c>
      <c r="B52" s="291"/>
      <c r="C52" s="291"/>
      <c r="D52" s="291"/>
      <c r="E52" s="291"/>
      <c r="F52" s="291"/>
      <c r="G52" s="291"/>
      <c r="H52" s="291"/>
      <c r="I52" s="292"/>
    </row>
    <row r="53" spans="1:9" ht="15.95" customHeight="1">
      <c r="A53" s="259" t="s">
        <v>365</v>
      </c>
      <c r="B53" s="293">
        <f>'税額計算（出力シート） '!J27</f>
        <v>0</v>
      </c>
      <c r="C53" s="293">
        <f>'税額計算（出力シート） '!K27</f>
        <v>0</v>
      </c>
      <c r="D53" s="293">
        <f>'税額計算（出力シート） '!L27</f>
        <v>0</v>
      </c>
      <c r="E53" s="293">
        <f>'税額計算（出力シート） '!M27</f>
        <v>0</v>
      </c>
      <c r="F53" s="293">
        <f>'税額計算（出力シート） '!N27</f>
        <v>0</v>
      </c>
      <c r="G53" s="293">
        <f>'税額計算（出力シート） '!O27</f>
        <v>0</v>
      </c>
      <c r="H53" s="293">
        <f>'税額計算（出力シート） '!P27</f>
        <v>0</v>
      </c>
      <c r="I53" s="262">
        <f>'税額計算（出力シート） '!Q27</f>
        <v>0</v>
      </c>
    </row>
    <row r="54" spans="1:9" ht="15.95" customHeight="1">
      <c r="A54" s="259" t="s">
        <v>366</v>
      </c>
      <c r="B54" s="205">
        <f>'税額計算（出力シート） '!J28</f>
        <v>0</v>
      </c>
      <c r="C54" s="205">
        <f>'税額計算（出力シート） '!K28</f>
        <v>0</v>
      </c>
      <c r="D54" s="205">
        <f>'税額計算（出力シート） '!L28</f>
        <v>0</v>
      </c>
      <c r="E54" s="205">
        <f>'税額計算（出力シート） '!M28</f>
        <v>0</v>
      </c>
      <c r="F54" s="205">
        <f>'税額計算（出力シート） '!N28</f>
        <v>0</v>
      </c>
      <c r="G54" s="205">
        <f>'税額計算（出力シート） '!O28</f>
        <v>0</v>
      </c>
      <c r="H54" s="205">
        <f>'税額計算（出力シート） '!P28</f>
        <v>0</v>
      </c>
      <c r="I54" s="260">
        <f>'税額計算（出力シート） '!Q28</f>
        <v>0</v>
      </c>
    </row>
    <row r="55" spans="1:9" ht="15.95" customHeight="1">
      <c r="A55" s="259" t="s">
        <v>367</v>
      </c>
      <c r="B55" s="205"/>
      <c r="C55" s="205"/>
      <c r="D55" s="205"/>
      <c r="E55" s="205"/>
      <c r="F55" s="205"/>
      <c r="G55" s="205"/>
      <c r="H55" s="205"/>
      <c r="I55" s="260"/>
    </row>
    <row r="56" spans="1:9" ht="15.95" customHeight="1">
      <c r="A56" s="259" t="s">
        <v>368</v>
      </c>
      <c r="B56" s="205">
        <f>'税額計算（出力シート） '!J31</f>
        <v>0</v>
      </c>
      <c r="C56" s="205">
        <f>'税額計算（出力シート） '!K31</f>
        <v>0</v>
      </c>
      <c r="D56" s="205">
        <f>'税額計算（出力シート） '!L31</f>
        <v>0</v>
      </c>
      <c r="E56" s="205">
        <f>'税額計算（出力シート） '!M31</f>
        <v>0</v>
      </c>
      <c r="F56" s="205">
        <f>'税額計算（出力シート） '!N31</f>
        <v>0</v>
      </c>
      <c r="G56" s="205">
        <f>'税額計算（出力シート） '!O31</f>
        <v>0</v>
      </c>
      <c r="H56" s="205">
        <f>'税額計算（出力シート） '!P31</f>
        <v>0</v>
      </c>
      <c r="I56" s="260">
        <f>'税額計算（出力シート） '!Q31</f>
        <v>0</v>
      </c>
    </row>
    <row r="57" spans="1:9" ht="15.95" customHeight="1">
      <c r="A57" s="259" t="s">
        <v>369</v>
      </c>
      <c r="B57" s="205">
        <f>'税額計算（出力シート） '!J32</f>
        <v>0</v>
      </c>
      <c r="C57" s="205">
        <f>'税額計算（出力シート） '!K32</f>
        <v>0</v>
      </c>
      <c r="D57" s="205">
        <f>'税額計算（出力シート） '!L32</f>
        <v>0</v>
      </c>
      <c r="E57" s="205">
        <f>'税額計算（出力シート） '!M32</f>
        <v>0</v>
      </c>
      <c r="F57" s="205">
        <f>'税額計算（出力シート） '!N32</f>
        <v>0</v>
      </c>
      <c r="G57" s="205">
        <f>'税額計算（出力シート） '!O32</f>
        <v>0</v>
      </c>
      <c r="H57" s="205">
        <f>'税額計算（出力シート） '!P32</f>
        <v>0</v>
      </c>
      <c r="I57" s="260">
        <f>'税額計算（出力シート） '!Q32</f>
        <v>0</v>
      </c>
    </row>
    <row r="58" spans="1:9" ht="15.95" customHeight="1">
      <c r="A58" s="259" t="s">
        <v>370</v>
      </c>
      <c r="B58" s="205">
        <f>'税額計算（出力シート） '!J33</f>
        <v>0</v>
      </c>
      <c r="C58" s="205">
        <f>'税額計算（出力シート） '!K33</f>
        <v>0</v>
      </c>
      <c r="D58" s="205">
        <f>'税額計算（出力シート） '!L33</f>
        <v>0</v>
      </c>
      <c r="E58" s="205">
        <f>'税額計算（出力シート） '!M33</f>
        <v>0</v>
      </c>
      <c r="F58" s="205">
        <f>'税額計算（出力シート） '!N33</f>
        <v>0</v>
      </c>
      <c r="G58" s="205">
        <f>'税額計算（出力シート） '!O33</f>
        <v>0</v>
      </c>
      <c r="H58" s="205">
        <f>'税額計算（出力シート） '!P33</f>
        <v>0</v>
      </c>
      <c r="I58" s="260">
        <f>'税額計算（出力シート） '!Q33</f>
        <v>0</v>
      </c>
    </row>
    <row r="59" spans="1:9" ht="15.95" customHeight="1">
      <c r="A59" s="259" t="s">
        <v>371</v>
      </c>
      <c r="B59" s="205">
        <f>'税額計算（出力シート） '!J34</f>
        <v>0</v>
      </c>
      <c r="C59" s="205">
        <f>'税額計算（出力シート） '!K34</f>
        <v>0</v>
      </c>
      <c r="D59" s="205">
        <f>'税額計算（出力シート） '!L34</f>
        <v>0</v>
      </c>
      <c r="E59" s="205">
        <f>'税額計算（出力シート） '!M34</f>
        <v>0</v>
      </c>
      <c r="F59" s="205">
        <f>'税額計算（出力シート） '!N34</f>
        <v>0</v>
      </c>
      <c r="G59" s="205">
        <f>'税額計算（出力シート） '!O34</f>
        <v>0</v>
      </c>
      <c r="H59" s="205">
        <f>'税額計算（出力シート） '!P34</f>
        <v>0</v>
      </c>
      <c r="I59" s="260">
        <f>'税額計算（出力シート） '!Q34</f>
        <v>0</v>
      </c>
    </row>
    <row r="60" spans="1:9" ht="15.95" customHeight="1">
      <c r="A60" s="259" t="s">
        <v>372</v>
      </c>
      <c r="B60" s="205">
        <f>'税額計算（出力シート） '!J35</f>
        <v>0</v>
      </c>
      <c r="C60" s="205">
        <f>'税額計算（出力シート） '!K35</f>
        <v>0</v>
      </c>
      <c r="D60" s="205">
        <f>'税額計算（出力シート） '!L35</f>
        <v>0</v>
      </c>
      <c r="E60" s="205">
        <f>'税額計算（出力シート） '!M35</f>
        <v>0</v>
      </c>
      <c r="F60" s="205">
        <f>'税額計算（出力シート） '!N35</f>
        <v>0</v>
      </c>
      <c r="G60" s="205">
        <f>'税額計算（出力シート） '!O35</f>
        <v>0</v>
      </c>
      <c r="H60" s="205">
        <f>'税額計算（出力シート） '!P35</f>
        <v>0</v>
      </c>
      <c r="I60" s="260">
        <f>'税額計算（出力シート） '!Q35</f>
        <v>0</v>
      </c>
    </row>
    <row r="61" spans="1:9" ht="15.95" customHeight="1">
      <c r="A61" s="259" t="s">
        <v>373</v>
      </c>
      <c r="B61" s="205">
        <f>'税額計算（出力シート） '!J37</f>
        <v>0</v>
      </c>
      <c r="C61" s="205">
        <f>'税額計算（出力シート） '!K37</f>
        <v>0</v>
      </c>
      <c r="D61" s="205">
        <f>'税額計算（出力シート） '!L37</f>
        <v>0</v>
      </c>
      <c r="E61" s="205">
        <f>'税額計算（出力シート） '!M37</f>
        <v>0</v>
      </c>
      <c r="F61" s="205">
        <f>'税額計算（出力シート） '!N37</f>
        <v>0</v>
      </c>
      <c r="G61" s="205">
        <f>'税額計算（出力シート） '!O37</f>
        <v>0</v>
      </c>
      <c r="H61" s="205">
        <f>'税額計算（出力シート） '!P37</f>
        <v>0</v>
      </c>
      <c r="I61" s="260">
        <f>'税額計算（出力シート） '!Q37</f>
        <v>0</v>
      </c>
    </row>
    <row r="62" spans="1:9" ht="15.95" customHeight="1">
      <c r="A62" s="259" t="s">
        <v>374</v>
      </c>
      <c r="B62" s="205">
        <f>'税額計算（出力シート） '!J38</f>
        <v>0</v>
      </c>
      <c r="C62" s="205">
        <f>'税額計算（出力シート） '!K38</f>
        <v>0</v>
      </c>
      <c r="D62" s="205">
        <f>'税額計算（出力シート） '!L38</f>
        <v>0</v>
      </c>
      <c r="E62" s="205">
        <f>'税額計算（出力シート） '!M38</f>
        <v>0</v>
      </c>
      <c r="F62" s="205">
        <f>'税額計算（出力シート） '!N38</f>
        <v>0</v>
      </c>
      <c r="G62" s="205">
        <f>'税額計算（出力シート） '!O38</f>
        <v>0</v>
      </c>
      <c r="H62" s="205">
        <f>'税額計算（出力シート） '!P38</f>
        <v>0</v>
      </c>
      <c r="I62" s="260">
        <f>'税額計算（出力シート） '!Q38</f>
        <v>0</v>
      </c>
    </row>
    <row r="63" spans="1:9" ht="15.95" customHeight="1">
      <c r="A63" s="259" t="s">
        <v>375</v>
      </c>
      <c r="B63" s="205">
        <f t="shared" ref="B63:G63" si="10">SUM(B57:B62)</f>
        <v>0</v>
      </c>
      <c r="C63" s="205">
        <f t="shared" si="10"/>
        <v>0</v>
      </c>
      <c r="D63" s="205">
        <f t="shared" si="10"/>
        <v>0</v>
      </c>
      <c r="E63" s="205">
        <f t="shared" si="10"/>
        <v>0</v>
      </c>
      <c r="F63" s="205">
        <f t="shared" si="10"/>
        <v>0</v>
      </c>
      <c r="G63" s="205">
        <f t="shared" si="10"/>
        <v>0</v>
      </c>
      <c r="H63" s="205">
        <f>SUM(H57:H62)</f>
        <v>0</v>
      </c>
      <c r="I63" s="260">
        <f>SUM(I57:I62)</f>
        <v>0</v>
      </c>
    </row>
    <row r="64" spans="1:9" ht="15.95" customHeight="1">
      <c r="A64" s="259" t="s">
        <v>376</v>
      </c>
      <c r="B64" s="205">
        <f t="shared" ref="B64:G64" si="11">IF(B54-B63&lt;0,0,B54-B63)</f>
        <v>0</v>
      </c>
      <c r="C64" s="205">
        <f t="shared" si="11"/>
        <v>0</v>
      </c>
      <c r="D64" s="205">
        <f t="shared" si="11"/>
        <v>0</v>
      </c>
      <c r="E64" s="205">
        <f t="shared" si="11"/>
        <v>0</v>
      </c>
      <c r="F64" s="205">
        <f t="shared" si="11"/>
        <v>0</v>
      </c>
      <c r="G64" s="205">
        <f t="shared" si="11"/>
        <v>0</v>
      </c>
      <c r="H64" s="205">
        <f>IF(H54-H63&lt;0,0,H54-H63)</f>
        <v>0</v>
      </c>
      <c r="I64" s="260">
        <f>IF(I54-I63&lt;0,0,I54-I63)</f>
        <v>0</v>
      </c>
    </row>
    <row r="65" spans="1:9" ht="15.95" customHeight="1">
      <c r="A65" s="259" t="s">
        <v>377</v>
      </c>
      <c r="B65" s="205">
        <f>'税額計算（出力シート） '!J41</f>
        <v>0</v>
      </c>
      <c r="C65" s="205">
        <f>'税額計算（出力シート） '!K41</f>
        <v>0</v>
      </c>
      <c r="D65" s="205">
        <f>'税額計算（出力シート） '!L41</f>
        <v>0</v>
      </c>
      <c r="E65" s="205">
        <f>'税額計算（出力シート） '!M41</f>
        <v>0</v>
      </c>
      <c r="F65" s="205">
        <f>'税額計算（出力シート） '!N41</f>
        <v>0</v>
      </c>
      <c r="G65" s="205">
        <f>'税額計算（出力シート） '!O41</f>
        <v>0</v>
      </c>
      <c r="H65" s="205">
        <f>'税額計算（出力シート） '!P41</f>
        <v>0</v>
      </c>
      <c r="I65" s="260">
        <f>'税額計算（出力シート） '!Q41</f>
        <v>0</v>
      </c>
    </row>
    <row r="66" spans="1:9" ht="15.95" customHeight="1">
      <c r="A66" s="259" t="s">
        <v>378</v>
      </c>
      <c r="B66" s="205">
        <f t="shared" ref="B66:G66" si="12">IF(B64-B65&gt;0,ROUNDDOWN((B64-B65),-2),B64-B65)</f>
        <v>0</v>
      </c>
      <c r="C66" s="205">
        <f t="shared" si="12"/>
        <v>0</v>
      </c>
      <c r="D66" s="205">
        <f t="shared" si="12"/>
        <v>0</v>
      </c>
      <c r="E66" s="205">
        <f t="shared" si="12"/>
        <v>0</v>
      </c>
      <c r="F66" s="205">
        <f t="shared" si="12"/>
        <v>0</v>
      </c>
      <c r="G66" s="205">
        <f t="shared" si="12"/>
        <v>0</v>
      </c>
      <c r="H66" s="205">
        <f>IF(H64-H65&gt;0,ROUNDDOWN((H64-H65),-2),H64-H65)</f>
        <v>0</v>
      </c>
      <c r="I66" s="260">
        <f>IF(I64-I65&gt;0,ROUNDDOWN((I64-I65),-2),I64-I65)</f>
        <v>0</v>
      </c>
    </row>
    <row r="67" spans="1:9" ht="15.95" customHeight="1">
      <c r="A67" s="259" t="s">
        <v>379</v>
      </c>
      <c r="B67" s="205">
        <f>'税額計算（出力シート） '!J42</f>
        <v>0</v>
      </c>
      <c r="C67" s="205">
        <f>'税額計算（出力シート） '!K42</f>
        <v>0</v>
      </c>
      <c r="D67" s="205">
        <f>'税額計算（出力シート） '!L42</f>
        <v>0</v>
      </c>
      <c r="E67" s="205">
        <f>'税額計算（出力シート） '!M42</f>
        <v>0</v>
      </c>
      <c r="F67" s="205">
        <f>'税額計算（出力シート） '!N42</f>
        <v>0</v>
      </c>
      <c r="G67" s="205">
        <f>'税額計算（出力シート） '!O42</f>
        <v>0</v>
      </c>
      <c r="H67" s="205">
        <f>'税額計算（出力シート） '!P42</f>
        <v>0</v>
      </c>
      <c r="I67" s="260">
        <f>'税額計算（出力シート） '!Q42</f>
        <v>0</v>
      </c>
    </row>
    <row r="68" spans="1:9" ht="15.95" customHeight="1">
      <c r="A68" s="259" t="s">
        <v>380</v>
      </c>
      <c r="B68" s="205">
        <f t="shared" ref="B68:G68" si="13">IF(B66-B67&gt;0,ROUNDDOWN((B66-B67),-2),0)</f>
        <v>0</v>
      </c>
      <c r="C68" s="205">
        <f t="shared" si="13"/>
        <v>0</v>
      </c>
      <c r="D68" s="205">
        <f t="shared" si="13"/>
        <v>0</v>
      </c>
      <c r="E68" s="205">
        <f t="shared" si="13"/>
        <v>0</v>
      </c>
      <c r="F68" s="205">
        <f t="shared" si="13"/>
        <v>0</v>
      </c>
      <c r="G68" s="205">
        <f t="shared" si="13"/>
        <v>0</v>
      </c>
      <c r="H68" s="205">
        <f>IF(H66-H67&gt;0,ROUNDDOWN((H66-H67),-2),0)</f>
        <v>0</v>
      </c>
      <c r="I68" s="260">
        <f>IF(I66-I67&gt;0,ROUNDDOWN((I66-I67),-2),0)</f>
        <v>0</v>
      </c>
    </row>
    <row r="69" spans="1:9" ht="15.95" customHeight="1" thickBot="1">
      <c r="A69" s="261" t="s">
        <v>381</v>
      </c>
      <c r="B69" s="294">
        <f t="shared" ref="B69:I69" si="14">IF(B66-B67&lt;0,(B67-B66)*-1,0)</f>
        <v>0</v>
      </c>
      <c r="C69" s="294">
        <f t="shared" si="14"/>
        <v>0</v>
      </c>
      <c r="D69" s="294">
        <f t="shared" si="14"/>
        <v>0</v>
      </c>
      <c r="E69" s="294">
        <f t="shared" si="14"/>
        <v>0</v>
      </c>
      <c r="F69" s="294">
        <f t="shared" si="14"/>
        <v>0</v>
      </c>
      <c r="G69" s="294">
        <f t="shared" si="14"/>
        <v>0</v>
      </c>
      <c r="H69" s="294">
        <f t="shared" si="14"/>
        <v>0</v>
      </c>
      <c r="I69" s="302">
        <f t="shared" si="14"/>
        <v>0</v>
      </c>
    </row>
    <row r="70" spans="1:9" ht="15.95" customHeight="1">
      <c r="A70" s="295"/>
      <c r="B70" s="295"/>
      <c r="C70" s="295"/>
      <c r="D70" s="295"/>
      <c r="E70" s="295"/>
      <c r="F70" s="295"/>
      <c r="G70" s="295"/>
      <c r="H70" s="295"/>
    </row>
    <row r="71" spans="1:9" ht="15.95" customHeight="1">
      <c r="C71" s="295"/>
      <c r="D71" s="295"/>
      <c r="E71" s="295"/>
    </row>
    <row r="72" spans="1:9" ht="15.95" customHeight="1">
      <c r="C72" s="295"/>
      <c r="D72" s="295"/>
      <c r="E72" s="295"/>
    </row>
    <row r="73" spans="1:9" ht="15.95" customHeight="1">
      <c r="A73" s="284" t="s">
        <v>155</v>
      </c>
      <c r="C73" s="295"/>
      <c r="D73" s="295"/>
      <c r="E73" s="295"/>
    </row>
    <row r="74" spans="1:9" ht="15.95" customHeight="1">
      <c r="C74" s="295"/>
      <c r="D74" s="295"/>
      <c r="E74" s="295"/>
    </row>
    <row r="75" spans="1:9" ht="15.95" customHeight="1">
      <c r="C75" s="295"/>
      <c r="D75" s="295"/>
      <c r="E75" s="295"/>
    </row>
    <row r="76" spans="1:9" ht="15.95" customHeight="1">
      <c r="A76" s="282" t="s">
        <v>160</v>
      </c>
    </row>
    <row r="78" spans="1:9" ht="15.95" customHeight="1">
      <c r="A78" s="282" t="s">
        <v>161</v>
      </c>
      <c r="E78" s="282" t="s">
        <v>162</v>
      </c>
    </row>
    <row r="80" spans="1:9" ht="15.95" customHeight="1">
      <c r="A80" s="502" t="s">
        <v>147</v>
      </c>
      <c r="B80" s="502"/>
      <c r="C80" s="502" t="s">
        <v>147</v>
      </c>
      <c r="D80" s="502"/>
      <c r="E80" s="502" t="s">
        <v>147</v>
      </c>
      <c r="F80" s="502"/>
      <c r="G80" s="502"/>
      <c r="H80" s="502"/>
    </row>
    <row r="81" spans="1:8" ht="15.95" customHeight="1">
      <c r="A81" s="502">
        <v>3</v>
      </c>
      <c r="B81" s="502"/>
      <c r="C81" s="502">
        <v>11</v>
      </c>
      <c r="D81" s="502"/>
      <c r="E81" s="502">
        <v>19</v>
      </c>
      <c r="F81" s="502"/>
      <c r="G81" s="503"/>
      <c r="H81" s="503"/>
    </row>
    <row r="82" spans="1:8" ht="15.95" customHeight="1">
      <c r="A82" s="502">
        <v>4</v>
      </c>
      <c r="B82" s="502"/>
      <c r="C82" s="502">
        <v>12</v>
      </c>
      <c r="D82" s="502"/>
      <c r="E82" s="502">
        <v>20</v>
      </c>
      <c r="F82" s="502"/>
      <c r="G82" s="502"/>
      <c r="H82" s="502"/>
    </row>
    <row r="83" spans="1:8" ht="15.95" customHeight="1">
      <c r="A83" s="502">
        <v>5</v>
      </c>
      <c r="B83" s="502"/>
      <c r="C83" s="502">
        <v>13</v>
      </c>
      <c r="D83" s="502"/>
      <c r="E83" s="502">
        <v>21</v>
      </c>
      <c r="F83" s="502"/>
      <c r="G83" s="502"/>
      <c r="H83" s="502"/>
    </row>
    <row r="84" spans="1:8" ht="15.95" customHeight="1">
      <c r="A84" s="502">
        <v>6</v>
      </c>
      <c r="B84" s="502"/>
      <c r="C84" s="502">
        <v>14</v>
      </c>
      <c r="D84" s="502"/>
      <c r="E84" s="502">
        <v>22</v>
      </c>
      <c r="F84" s="502"/>
      <c r="G84" s="502"/>
      <c r="H84" s="502"/>
    </row>
    <row r="85" spans="1:8" ht="15.95" customHeight="1">
      <c r="A85" s="502">
        <v>7</v>
      </c>
      <c r="B85" s="502"/>
      <c r="C85" s="502">
        <v>15</v>
      </c>
      <c r="D85" s="502"/>
      <c r="E85" s="502">
        <v>23</v>
      </c>
      <c r="F85" s="502"/>
      <c r="G85" s="502"/>
      <c r="H85" s="502"/>
    </row>
    <row r="86" spans="1:8" ht="15.95" customHeight="1">
      <c r="A86" s="502">
        <v>8</v>
      </c>
      <c r="B86" s="502"/>
      <c r="C86" s="502">
        <v>16</v>
      </c>
      <c r="D86" s="502"/>
      <c r="E86" s="504" t="s">
        <v>163</v>
      </c>
      <c r="F86" s="504"/>
      <c r="G86" s="504"/>
      <c r="H86" s="502"/>
    </row>
    <row r="87" spans="1:8" ht="15.95" customHeight="1">
      <c r="A87" s="502">
        <v>9</v>
      </c>
      <c r="B87" s="502"/>
      <c r="C87" s="502">
        <v>17</v>
      </c>
      <c r="D87" s="502"/>
      <c r="E87" s="505"/>
      <c r="F87" s="505"/>
      <c r="G87" s="505"/>
      <c r="H87" s="505"/>
    </row>
    <row r="88" spans="1:8" ht="15.95" customHeight="1">
      <c r="A88" s="502">
        <v>10</v>
      </c>
      <c r="B88" s="502"/>
      <c r="C88" s="502">
        <v>18</v>
      </c>
      <c r="D88" s="502"/>
      <c r="E88" s="504"/>
      <c r="F88" s="504"/>
      <c r="G88" s="504"/>
      <c r="H88" s="505"/>
    </row>
    <row r="91" spans="1:8" ht="15.95" customHeight="1">
      <c r="A91" s="282" t="s">
        <v>164</v>
      </c>
    </row>
    <row r="93" spans="1:8" ht="15.95" customHeight="1">
      <c r="A93" s="282" t="s">
        <v>165</v>
      </c>
      <c r="E93" s="282" t="s">
        <v>166</v>
      </c>
    </row>
    <row r="95" spans="1:8" ht="15.95" customHeight="1">
      <c r="A95" s="502" t="s">
        <v>147</v>
      </c>
      <c r="B95" s="502"/>
      <c r="C95" s="502" t="s">
        <v>147</v>
      </c>
      <c r="D95" s="502"/>
      <c r="E95" s="502" t="s">
        <v>147</v>
      </c>
      <c r="F95" s="502"/>
    </row>
    <row r="96" spans="1:8" ht="15.95" customHeight="1">
      <c r="A96" s="502">
        <v>3</v>
      </c>
      <c r="B96" s="502"/>
      <c r="C96" s="502">
        <v>11</v>
      </c>
      <c r="D96" s="502"/>
      <c r="E96" s="502">
        <v>14</v>
      </c>
      <c r="F96" s="502"/>
    </row>
    <row r="97" spans="1:7" ht="15.95" customHeight="1">
      <c r="A97" s="502">
        <v>4</v>
      </c>
      <c r="B97" s="502"/>
      <c r="C97" s="502">
        <v>12</v>
      </c>
      <c r="D97" s="502"/>
      <c r="E97" s="502">
        <v>15</v>
      </c>
      <c r="F97" s="502"/>
    </row>
    <row r="98" spans="1:7" ht="15.95" customHeight="1">
      <c r="A98" s="502">
        <v>5</v>
      </c>
      <c r="B98" s="502"/>
      <c r="C98" s="502">
        <v>13</v>
      </c>
      <c r="D98" s="502"/>
      <c r="E98" s="502">
        <v>16</v>
      </c>
      <c r="F98" s="502"/>
    </row>
    <row r="99" spans="1:7" ht="15.95" customHeight="1">
      <c r="A99" s="502">
        <v>6</v>
      </c>
      <c r="B99" s="502"/>
      <c r="C99" s="505"/>
      <c r="D99" s="505"/>
      <c r="E99" s="502">
        <v>17</v>
      </c>
      <c r="F99" s="502"/>
    </row>
    <row r="100" spans="1:7" ht="15.95" customHeight="1">
      <c r="A100" s="502">
        <v>7</v>
      </c>
      <c r="B100" s="502"/>
      <c r="C100" s="505"/>
      <c r="D100" s="505"/>
      <c r="E100" s="505" t="s">
        <v>167</v>
      </c>
      <c r="F100" s="504"/>
      <c r="G100" s="295"/>
    </row>
    <row r="101" spans="1:7" ht="15.95" customHeight="1">
      <c r="A101" s="502">
        <v>8</v>
      </c>
      <c r="B101" s="502"/>
      <c r="C101" s="505"/>
      <c r="D101" s="505"/>
      <c r="E101" s="502" t="s">
        <v>147</v>
      </c>
      <c r="F101" s="502"/>
    </row>
    <row r="102" spans="1:7" ht="15.95" customHeight="1">
      <c r="A102" s="502">
        <v>9</v>
      </c>
      <c r="B102" s="502"/>
      <c r="C102" s="505"/>
      <c r="D102" s="505"/>
      <c r="E102" s="502">
        <v>18</v>
      </c>
      <c r="F102" s="502"/>
    </row>
    <row r="103" spans="1:7" ht="15.95" customHeight="1">
      <c r="A103" s="502">
        <v>10</v>
      </c>
      <c r="B103" s="502"/>
      <c r="C103" s="505"/>
      <c r="D103" s="505"/>
      <c r="E103" s="502">
        <v>19</v>
      </c>
      <c r="F103" s="502"/>
    </row>
    <row r="104" spans="1:7" ht="15.95" customHeight="1">
      <c r="A104" s="505"/>
      <c r="B104" s="505"/>
      <c r="C104" s="505"/>
      <c r="D104" s="505"/>
      <c r="E104" s="502">
        <v>20</v>
      </c>
      <c r="F104" s="502"/>
    </row>
    <row r="113" spans="1:10" ht="15.95" customHeight="1">
      <c r="A113" s="282" t="s">
        <v>168</v>
      </c>
    </row>
    <row r="114" spans="1:10" ht="15.95" customHeight="1">
      <c r="A114" s="819" t="s">
        <v>494</v>
      </c>
      <c r="B114" s="819"/>
      <c r="C114" s="819"/>
    </row>
    <row r="115" spans="1:10" ht="15.95" customHeight="1" thickBot="1">
      <c r="A115" s="283"/>
      <c r="B115" s="283"/>
    </row>
    <row r="116" spans="1:10" ht="15.95" customHeight="1">
      <c r="A116" s="814" t="s">
        <v>498</v>
      </c>
      <c r="B116" s="815"/>
      <c r="C116" s="816" t="s">
        <v>499</v>
      </c>
      <c r="D116" s="817"/>
      <c r="E116" s="357" t="s">
        <v>147</v>
      </c>
      <c r="F116" s="601" t="s">
        <v>624</v>
      </c>
      <c r="G116" s="303"/>
      <c r="H116" s="303"/>
      <c r="I116" s="303"/>
      <c r="J116" s="303"/>
    </row>
    <row r="117" spans="1:10" ht="15.95" customHeight="1">
      <c r="A117" s="602" t="s">
        <v>169</v>
      </c>
      <c r="B117" s="460">
        <f>'税額計算（出力シート） '!R6</f>
        <v>1449906000</v>
      </c>
      <c r="C117" s="603" t="s">
        <v>170</v>
      </c>
      <c r="D117" s="340">
        <f>'税額計算（出力シート） '!H9</f>
        <v>5</v>
      </c>
      <c r="E117" s="397" t="s">
        <v>171</v>
      </c>
      <c r="F117" s="460">
        <f>'税額計算（出力シート） '!R9</f>
        <v>1349906000</v>
      </c>
      <c r="G117" s="303"/>
      <c r="H117" s="303"/>
      <c r="I117" s="303"/>
      <c r="J117" s="303"/>
    </row>
    <row r="118" spans="1:10" ht="15.95" customHeight="1" thickBot="1">
      <c r="A118" s="604" t="s">
        <v>172</v>
      </c>
      <c r="B118" s="463">
        <f>IF(D153=0,0,B158)</f>
        <v>0</v>
      </c>
      <c r="C118" s="605" t="s">
        <v>173</v>
      </c>
      <c r="D118" s="606">
        <f>'税額計算（出力シート） '!R8</f>
        <v>100000000</v>
      </c>
      <c r="E118" s="607" t="s">
        <v>174</v>
      </c>
      <c r="F118" s="463">
        <f>IF(D153=0,0,B118-D118)</f>
        <v>0</v>
      </c>
      <c r="G118" s="303"/>
      <c r="H118" s="303"/>
      <c r="I118" s="303"/>
      <c r="J118" s="303"/>
    </row>
    <row r="119" spans="1:10" ht="15.95" customHeight="1" thickBot="1">
      <c r="A119" s="303" t="s">
        <v>314</v>
      </c>
      <c r="B119" s="303"/>
      <c r="C119" s="303"/>
      <c r="D119" s="303"/>
      <c r="E119" s="303"/>
      <c r="F119" s="303"/>
      <c r="G119" s="303"/>
      <c r="H119" s="303"/>
      <c r="I119" s="303"/>
      <c r="J119" s="303"/>
    </row>
    <row r="120" spans="1:10" ht="15.95" customHeight="1" thickBot="1">
      <c r="A120" s="453" t="s">
        <v>653</v>
      </c>
      <c r="B120" s="304" t="s">
        <v>349</v>
      </c>
      <c r="C120" s="304" t="s">
        <v>500</v>
      </c>
      <c r="D120" s="304" t="s">
        <v>463</v>
      </c>
      <c r="E120" s="304" t="s">
        <v>654</v>
      </c>
      <c r="F120" s="304" t="s">
        <v>501</v>
      </c>
      <c r="G120" s="304" t="s">
        <v>464</v>
      </c>
      <c r="H120" s="305" t="s">
        <v>655</v>
      </c>
      <c r="I120" s="304" t="s">
        <v>619</v>
      </c>
      <c r="J120" s="305" t="s">
        <v>620</v>
      </c>
    </row>
    <row r="121" spans="1:10" ht="15.95" customHeight="1">
      <c r="A121" s="596" t="s">
        <v>350</v>
      </c>
      <c r="B121" s="820" t="s">
        <v>614</v>
      </c>
      <c r="C121" s="821"/>
      <c r="D121" s="822"/>
      <c r="E121" s="353"/>
      <c r="F121" s="608"/>
      <c r="G121" s="608"/>
      <c r="H121" s="609"/>
      <c r="I121" s="608"/>
      <c r="J121" s="609"/>
    </row>
    <row r="122" spans="1:10" ht="15.95" customHeight="1">
      <c r="A122" s="610" t="str">
        <f>IF('税額計算（出力シート） '!D9=0,0,IF('税額計算（出力シート） '!F9&gt;=1,0,IF('税額計算（出力シート） '!G9&gt;1,0,IF('財産集計（入力シート） '!B57=0,'税額計算（出力シート） '!D5,'財産集計（入力シート） '!B57))))</f>
        <v>小林洋子</v>
      </c>
      <c r="B122" s="306" t="str">
        <f>IF(A122=0,0,IF('財産集計（入力シート） '!B57=0,'税額計算（出力シート） '!D8,'財産集計（入力シート） '!D57))</f>
        <v>妻</v>
      </c>
      <c r="C122" s="599">
        <f>IF(A122=0,0,IF('財産集計（入力シート） '!B57=0,0,'財産集計（入力シート） '!I57))</f>
        <v>0.5</v>
      </c>
      <c r="D122" s="307">
        <f>IF(A122=0,0,IF('財産集計（入力シート） '!B57=0,0,IF('財産集計（入力シート） '!I57=1/2,'財産集計（入力シート） '!L57,0)))</f>
        <v>674953000</v>
      </c>
      <c r="E122" s="308">
        <f>IF(D122=0,0,IF('財産集計（入力シート） '!B57=0,0,'財産集計（入力シート） '!M57))</f>
        <v>290476500</v>
      </c>
      <c r="F122" s="611">
        <f>IF(A122="相続人以外",0,IF(A122=0,0,IF(C122&gt;0,0,IF('財産集計（入力シート） '!B57=0,IF('税額計算（出力シート） '!D9=1,1/2,0)))))</f>
        <v>0</v>
      </c>
      <c r="G122" s="308">
        <f>IF(F122=0,0,IF('税額計算（出力シート） '!D9&gt;=1,ROUNDDOWN('税額計算（出力シート） '!R9*1/2,-3),0))</f>
        <v>0</v>
      </c>
      <c r="H122" s="309">
        <f t="shared" ref="H122:H129" si="15">IF(G122&lt;=10000000,G122*0.1,IF(G122&lt;=30000000,G122*0.15-500000,IF(G122&lt;=50000000,G122*0.2-2000000,IF(G122&lt;=100000000,G122*0.3-7000000,IF(G122&lt;=300000000,G122*0.4-17000000,G122*0.5-47000000)))))</f>
        <v>0</v>
      </c>
      <c r="I122" s="308">
        <f>IF(F122=0,0,IF('税額計算（出力シート） '!D9=0,0,ROUNDDOWN(F118*1/2,-3)))</f>
        <v>0</v>
      </c>
      <c r="J122" s="309">
        <f t="shared" ref="J122:J129" si="16">IF(I122&lt;=10000000,I122*0.1,IF(I122&lt;=30000000,I122*0.15-500000,IF(I122&lt;=50000000,I122*0.2-2000000,IF(I122&lt;=100000000,I122*0.3-7000000,IF(I122&lt;=300000000,I122*0.4-17000000,I122*0.5-47000000)))))</f>
        <v>0</v>
      </c>
    </row>
    <row r="123" spans="1:10" ht="15.95" customHeight="1">
      <c r="A123" s="610" t="str">
        <f>IF('税額計算（出力シート） '!F9&gt;=1,0,IF('税額計算（出力シート） '!G9&gt;=1,0,IF('財産集計（入力シート） '!B58=0,'税額計算（出力シート） '!E5,'財産集計（入力シート） '!B58)))</f>
        <v>小林智子</v>
      </c>
      <c r="B123" s="306" t="str">
        <f>IF(A123=0,0,IF('財産集計（入力シート） '!B58=0,'税額計算（出力シート） '!E8,'財産集計（入力シート） '!D58))</f>
        <v>長女</v>
      </c>
      <c r="C123" s="599">
        <f>IF(A123=0,0,IF('財産集計（入力シート） '!B58=0,0,'財産集計（入力シート） '!I58))</f>
        <v>0.1</v>
      </c>
      <c r="D123" s="307">
        <f>IF(A123=0,0,IF('財産集計（入力シート） '!B58=0,0,'財産集計（入力シート） '!L58))</f>
        <v>134990000</v>
      </c>
      <c r="E123" s="308">
        <f>IF('財産集計（入力シート） '!B58=0,0,'財産集計（入力シート） '!M58)</f>
        <v>36996000</v>
      </c>
      <c r="F123" s="611">
        <f>IF(A123="相続人以外",0,IF(A123=0,0,IF(C123&gt;0,0,IF('財産集計（入力シート） '!B58=0,IF('税額計算（出力シート） '!D9=1,1/2*1/'税額計算（出力シート） '!E9,1/'税額計算（出力シート） '!E9)))))</f>
        <v>0</v>
      </c>
      <c r="G123" s="308">
        <f>IF(F123=0,0,IF('税額計算（出力シート） '!D9&gt;=1,ROUNDDOWN('税額計算（出力シート） '!R9*1/2*1/'税額計算（出力シート） '!E9,-3),ROUNDDOWN('税額計算（出力シート） '!R9*1/'税額計算（出力シート） '!E9,-3)))</f>
        <v>0</v>
      </c>
      <c r="H123" s="309">
        <f t="shared" si="15"/>
        <v>0</v>
      </c>
      <c r="I123" s="308">
        <f>IF(F123=0,0,IF('税額計算（出力シート） '!E9=0,0,ROUNDDOWN(F118*1/2*1/'税額計算（出力シート） '!E9,-3)))</f>
        <v>0</v>
      </c>
      <c r="J123" s="309">
        <f t="shared" si="16"/>
        <v>0</v>
      </c>
    </row>
    <row r="124" spans="1:10" ht="15.95" customHeight="1">
      <c r="A124" s="610" t="str">
        <f>IF('税額計算（出力シート） '!F9&gt;=1,0,IF('税額計算（出力シート） '!G9&gt;=1,0,IF('財産集計（入力シート） '!B59=0,'税額計算（出力シート） '!F5,'財産集計（入力シート） '!B59)))</f>
        <v>小林尊琉</v>
      </c>
      <c r="B124" s="306" t="str">
        <f>IF(A124=0,0,IF('財産集計（入力シート） '!B59=0,'税額計算（出力シート） '!E8,'財産集計（入力シート） '!D59))</f>
        <v>長男の子　被相続人の普通養子</v>
      </c>
      <c r="C124" s="599">
        <f>IF(A124=0,0,IF('財産集計（入力シート） '!B59=0,0,'財産集計（入力シート） '!I59))</f>
        <v>0.2</v>
      </c>
      <c r="D124" s="307">
        <f>IF(A124=0,0,IF('財産集計（入力シート） '!B59=0,0,'財産集計（入力シート） '!L59))</f>
        <v>269981000</v>
      </c>
      <c r="E124" s="308">
        <f>IF('財産集計（入力シート） '!B59=0,0,'財産集計（入力シート） '!M59)</f>
        <v>90992400</v>
      </c>
      <c r="F124" s="611">
        <f>IF(A124="相続人以外",0,IF(A124=0,0,IF(C124&gt;0,0,IF('財産集計（入力シート） '!B59=0,IF('税額計算（出力シート） '!D9=1,1/2*1/'税額計算（出力シート） '!E9,1/'税額計算（出力シート） '!E9)))))</f>
        <v>0</v>
      </c>
      <c r="G124" s="308">
        <f>IF(F124=0,0,IF('税額計算（出力シート） '!D9&gt;=1,ROUNDDOWN('税額計算（出力シート） '!R9*1/2*1/'税額計算（出力シート） '!E9,-3),ROUNDDOWN('税額計算（出力シート） '!R9*1/'税額計算（出力シート） '!E9,-3)))</f>
        <v>0</v>
      </c>
      <c r="H124" s="309">
        <f t="shared" si="15"/>
        <v>0</v>
      </c>
      <c r="I124" s="308">
        <f>IF(F124=0,0,IF('税額計算（出力シート） '!E9=0,0,ROUNDDOWN(F118*1/2*1/'税額計算（出力シート） '!E9,-3)))</f>
        <v>0</v>
      </c>
      <c r="J124" s="309">
        <f t="shared" si="16"/>
        <v>0</v>
      </c>
    </row>
    <row r="125" spans="1:10" ht="15.95" customHeight="1">
      <c r="A125" s="610" t="str">
        <f>IF('税額計算（出力シート） '!F9&gt;=1,0,IF('税額計算（出力シート） '!G9&gt;=1,0,IF('財産集計（入力シート） '!B60=0,'税額計算（出力シート） '!G5,'財産集計（入力シート） '!B60)))</f>
        <v>小林二郎</v>
      </c>
      <c r="B125" s="306" t="str">
        <f>IF(A125=0,0,IF('財産集計（入力シート） '!B60=0,'税額計算（出力シート） '!E8,'財産集計（入力シート） '!D60))</f>
        <v>二男　特別障害者</v>
      </c>
      <c r="C125" s="599">
        <f>IF(A125=0,0,IF('財産集計（入力シート） '!B60=0,0,'財産集計（入力シート） '!I60))</f>
        <v>0.1</v>
      </c>
      <c r="D125" s="307">
        <f>IF(A125=0,0,IF('財産集計（入力シート） '!B60=0,0,'財産集計（入力シート） '!L60))</f>
        <v>134990000</v>
      </c>
      <c r="E125" s="308">
        <f>IF('財産集計（入力シート） '!B60=0,0,'財産集計（入力シート） '!M60)</f>
        <v>36996000</v>
      </c>
      <c r="F125" s="611">
        <f>IF(A125="相続人以外",0,IF(A125=0,0,IF(C125&gt;0,0,IF('財産集計（入力シート） '!B60=0,IF('税額計算（出力シート） '!D9=1,1/2*1/'税額計算（出力シート） '!E9,1/'税額計算（出力シート） '!E9)))))</f>
        <v>0</v>
      </c>
      <c r="G125" s="308">
        <f>IF(F125=0,0,IF('税額計算（出力シート） '!D9&gt;=1,ROUNDDOWN('税額計算（出力シート） '!R9*1/2*1/'税額計算（出力シート） '!E9,-3),ROUNDDOWN('税額計算（出力シート） '!R9*1/'税額計算（出力シート） '!E9,-3)))</f>
        <v>0</v>
      </c>
      <c r="H125" s="309">
        <f t="shared" si="15"/>
        <v>0</v>
      </c>
      <c r="I125" s="308">
        <f>IF(F125=0,0,IF('税額計算（出力シート） '!E9=0,0,ROUNDDOWN(F118*1/2*1/'税額計算（出力シート） '!E9,-3)))</f>
        <v>0</v>
      </c>
      <c r="J125" s="309">
        <f t="shared" si="16"/>
        <v>0</v>
      </c>
    </row>
    <row r="126" spans="1:10" ht="15.95" customHeight="1">
      <c r="A126" s="612" t="str">
        <f>IF('税額計算（出力シート） '!F9&gt;=1,0,IF('税額計算（出力シート） '!G9&gt;=1,0,IF('財産集計（入力シート） '!B61=0,'税額計算（出力シート） '!H5,'財産集計（入力シート） '!B61)))</f>
        <v>小林　円</v>
      </c>
      <c r="B126" s="310" t="str">
        <f>IF(A126=0,0,IF('財産集計（入力シート） '!B61=0,'税額計算（出力シート） '!E8,'財産集計（入力シート） '!D61))</f>
        <v>二女</v>
      </c>
      <c r="C126" s="600">
        <f>IF(A126=0,0,IF('財産集計（入力シート） '!B61=0,0,'財産集計（入力シート） '!I61))</f>
        <v>0.1</v>
      </c>
      <c r="D126" s="311">
        <f>IF(A126=0,0,IF('財産集計（入力シート） '!B61=0,0,'財産集計（入力シート） '!L61))</f>
        <v>134990000</v>
      </c>
      <c r="E126" s="312">
        <f>IF('財産集計（入力シート） '!B61=0,0,'財産集計（入力シート） '!M61)</f>
        <v>36996000</v>
      </c>
      <c r="F126" s="611">
        <f>IF(A126="相続人以外",0,IF(A126=0,0,IF(C126&gt;0,0,IF('財産集計（入力シート） '!B61=0,IF('税額計算（出力シート） '!D9=1,1/2*1/'税額計算（出力シート） '!E9,1/'税額計算（出力シート） '!E9)))))</f>
        <v>0</v>
      </c>
      <c r="G126" s="312">
        <f>IF(F126=0,0,IF('税額計算（出力シート） '!D9&gt;=1,ROUNDDOWN('税額計算（出力シート） '!R9*1/2*1/'税額計算（出力シート） '!E9,-3),ROUNDDOWN('税額計算（出力シート） '!R9*1/'税額計算（出力シート） '!E9,-3)))</f>
        <v>0</v>
      </c>
      <c r="H126" s="313">
        <f t="shared" si="15"/>
        <v>0</v>
      </c>
      <c r="I126" s="308">
        <f>IF(F126=0,0,IF('税額計算（出力シート） '!E9=0,0,ROUNDDOWN(F118*1/2*1/'税額計算（出力シート） '!E9,-3)))</f>
        <v>0</v>
      </c>
      <c r="J126" s="313">
        <f t="shared" si="16"/>
        <v>0</v>
      </c>
    </row>
    <row r="127" spans="1:10" ht="15.95" customHeight="1">
      <c r="A127" s="612" t="str">
        <f>IF('税額計算（出力シート） '!F9&gt;=1,0,IF('税額計算（出力シート） '!G9&gt;=1,0,IF('財産集計（入力シート） '!B62=0,'税額計算（出力シート） '!I5,'財産集計（入力シート） '!B62)))</f>
        <v>相続人以外</v>
      </c>
      <c r="B127" s="306" t="str">
        <f>IF(A127=0,0,IF('財産集計（入力シート） '!B62=0,'税額計算（出力シート） '!E8,'財産集計（入力シート） '!D62))</f>
        <v>小林一郎　長男　この相続前に死亡</v>
      </c>
      <c r="C127" s="599">
        <f>IF(A127=0,0,IF('財産集計（入力シート） '!B62=0,0,'財産集計（入力シート） '!I62))</f>
        <v>0</v>
      </c>
      <c r="D127" s="307">
        <f>IF(A127=0,0,IF('財産集計（入力シート） '!B62=0,0,'財産集計（入力シート） '!L62))</f>
        <v>0</v>
      </c>
      <c r="E127" s="308">
        <f>IF('財産集計（入力シート） '!B62=0,0,'財産集計（入力シート） '!M62)</f>
        <v>0</v>
      </c>
      <c r="F127" s="611">
        <f>IF(A127="相続人以外",0,IF(A127=0,0,IF(C127&gt;0,0,IF('財産集計（入力シート） '!B62=0,IF('税額計算（出力シート） '!D9=1,1/2*1/'税額計算（出力シート） '!E9,1/'税額計算（出力シート） '!E9)))))</f>
        <v>0</v>
      </c>
      <c r="G127" s="308">
        <f>IF(F127=0,0,IF('税額計算（出力シート） '!D9&gt;=1,ROUNDDOWN('税額計算（出力シート） '!R9*1/2*1/'税額計算（出力シート） '!E9,-3),ROUNDDOWN('税額計算（出力シート） '!R9*1/'税額計算（出力シート） '!E9,-3)))</f>
        <v>0</v>
      </c>
      <c r="H127" s="313">
        <f t="shared" si="15"/>
        <v>0</v>
      </c>
      <c r="I127" s="308">
        <f>IF(F127=0,0,IF('税額計算（出力シート） '!E9=0,0,ROUNDDOWN(F118*1/2*1/'税額計算（出力シート） '!E9,-3)))</f>
        <v>0</v>
      </c>
      <c r="J127" s="313">
        <f t="shared" si="16"/>
        <v>0</v>
      </c>
    </row>
    <row r="128" spans="1:10" ht="15.95" customHeight="1">
      <c r="A128" s="306" t="str">
        <f>IF('税額計算（出力シート） '!F9&gt;=1,0,IF('税額計算（出力シート） '!G9&gt;=1,0,IF('財産集計（入力シート） '!B63=0,'税額計算（出力シート） '!J5,'財産集計（入力シート） '!B63)))</f>
        <v>相続人以外</v>
      </c>
      <c r="B128" s="306" t="str">
        <f>IF(A128=0,0,IF('財産集計（入力シート） '!B63=0,'税額計算（出力シート） '!E8,'財産集計（入力シート） '!D63))</f>
        <v>佐藤英理　孫　遺贈あり</v>
      </c>
      <c r="C128" s="599">
        <f>IF(A128=0,0,IF('財産集計（入力シート） '!B63=0,0,'財産集計（入力シート） '!I63))</f>
        <v>0</v>
      </c>
      <c r="D128" s="307">
        <f>IF(A128=0,0,IF('財産集計（入力シート） '!B63=0,0,'財産集計（入力シート） '!L63))</f>
        <v>0</v>
      </c>
      <c r="E128" s="308">
        <f>IF('財産集計（入力シート） '!B63=0,0,'財産集計（入力シート） '!M63)</f>
        <v>0</v>
      </c>
      <c r="F128" s="611">
        <f>IF(A128="相続人以外",0,IF(A128=0,0,IF(C128&gt;0,0,IF('財産集計（入力シート） '!B63=0,IF('税額計算（出力シート） '!D9=1,1/2*1/'税額計算（出力シート） '!E9,1/'税額計算（出力シート） '!E9)))))</f>
        <v>0</v>
      </c>
      <c r="G128" s="308">
        <f>IF(F128=0,0,IF('税額計算（出力シート） '!D9&gt;=1,ROUNDDOWN('税額計算（出力シート） '!R9*1/2*1/'税額計算（出力シート） '!E9,-3),ROUNDDOWN('税額計算（出力シート） '!R9*1/'税額計算（出力シート） '!E9,-3)))</f>
        <v>0</v>
      </c>
      <c r="H128" s="308">
        <f t="shared" si="15"/>
        <v>0</v>
      </c>
      <c r="I128" s="308">
        <f>IF(F128=0,0,IF('税額計算（出力シート） '!E9=0,0,ROUNDDOWN(F118*1/2*1/'税額計算（出力シート） '!E9,-3)))</f>
        <v>0</v>
      </c>
      <c r="J128" s="308">
        <f t="shared" si="16"/>
        <v>0</v>
      </c>
    </row>
    <row r="129" spans="1:10" ht="15.95" customHeight="1" thickBot="1">
      <c r="A129" s="306">
        <f>IF('税額計算（出力シート） '!F9&gt;=1,0,IF('税額計算（出力シート） '!G9&gt;=1,0,IF('財産集計（入力シート） '!B64=0,'税額計算（出力シート） '!K5,'財産集計（入力シート） '!B64)))</f>
        <v>0</v>
      </c>
      <c r="B129" s="306">
        <f>IF(A129=0,0,IF('財産集計（入力シート） '!B64=0,'税額計算（出力シート） '!E8,'財産集計（入力シート） '!D64))</f>
        <v>0</v>
      </c>
      <c r="C129" s="599">
        <f>IF(A129=0,0,IF('財産集計（入力シート） '!B64=0,0,'財産集計（入力シート） '!I64))</f>
        <v>0</v>
      </c>
      <c r="D129" s="307">
        <f>IF(A129=0,0,IF('財産集計（入力シート） '!B64=0,0,'財産集計（入力シート） '!L64))</f>
        <v>0</v>
      </c>
      <c r="E129" s="308">
        <f>IF('財産集計（入力シート） '!B64=0,0,'財産集計（入力シート） '!M64)</f>
        <v>0</v>
      </c>
      <c r="F129" s="611">
        <f>IF(A129="相続人以外",0,IF(A129=0,0,IF('財産集計（入力シート） '!B64=0,IF('税額計算（出力シート） '!D9=1,1/2*1/'税額計算（出力シート） '!E9,1/'税額計算（出力シート） '!E9))))</f>
        <v>0</v>
      </c>
      <c r="G129" s="308">
        <f>IF(F129=0,0,IF('税額計算（出力シート） '!D9&gt;=1,ROUNDDOWN('税額計算（出力シート） '!R9*1/2*1/'税額計算（出力シート） '!E9,-3),ROUNDDOWN('税額計算（出力シート） '!R9*1/'税額計算（出力シート） '!E9,-3)))</f>
        <v>0</v>
      </c>
      <c r="H129" s="308">
        <f t="shared" si="15"/>
        <v>0</v>
      </c>
      <c r="I129" s="308">
        <f>IF(F129=0,0,IF('税額計算（出力シート） '!E9=0,0,ROUNDDOWN(F118*1/2*1/'税額計算（出力シート） '!E9,-3)))</f>
        <v>0</v>
      </c>
      <c r="J129" s="308">
        <f t="shared" si="16"/>
        <v>0</v>
      </c>
    </row>
    <row r="130" spans="1:10" ht="15.95" customHeight="1">
      <c r="A130" s="596" t="s">
        <v>515</v>
      </c>
      <c r="B130" s="820" t="s">
        <v>615</v>
      </c>
      <c r="C130" s="821"/>
      <c r="D130" s="822"/>
      <c r="E130" s="314"/>
      <c r="F130" s="613"/>
      <c r="G130" s="314"/>
      <c r="H130" s="315"/>
      <c r="I130" s="314"/>
      <c r="J130" s="315"/>
    </row>
    <row r="131" spans="1:10" ht="15.95" customHeight="1">
      <c r="A131" s="610">
        <f>IF('税額計算（出力シート） '!D9=0,0,IF('税額計算（出力シート） '!F9=0,0,IF('財産集計（入力シート） '!B57=0,'税額計算（出力シート） '!D5,'財産集計（入力シート） '!B57)))</f>
        <v>0</v>
      </c>
      <c r="B131" s="306">
        <f>IF(A131=0,0,IF('財産集計（入力シート） '!B57=0,'税額計算（出力シート） '!D8,'財産集計（入力シート） '!D57))</f>
        <v>0</v>
      </c>
      <c r="C131" s="316">
        <f>IF(A131=0,0,IF('税額計算（出力シート） '!F9=0,0,IF('財産集計（入力シート） '!B57=0,0,'財産集計（入力シート） '!I57)))</f>
        <v>0</v>
      </c>
      <c r="D131" s="307">
        <f>IF(A131=0,0,IF('税額計算（出力シート） '!F9=0,0,IF('財産集計（入力シート） '!B57=0,0,'財産集計（入力シート） '!L57)))</f>
        <v>0</v>
      </c>
      <c r="E131" s="308">
        <f>IF('税額計算（出力シート） '!F9=0,0,IF('財産集計（入力シート） '!B57=0,0,'財産集計（入力シート） '!M57))</f>
        <v>0</v>
      </c>
      <c r="F131" s="611">
        <f>IF(A131=0,0,IF(C131&gt;0,0,IF('財産集計（入力シート） '!B57=0,IF('税額計算（出力シート） '!F9=0,0,IF('税額計算（出力シート） '!D9&gt;=1,2/3,0)))))</f>
        <v>0</v>
      </c>
      <c r="G131" s="308">
        <f>IF(F131=0,0,IF('税額計算（出力シート） '!F9=0,0,IF('税額計算（出力シート） '!D9&gt;=1,ROUNDDOWN('税額計算（出力シート） '!R9*2/3,-3),0)))</f>
        <v>0</v>
      </c>
      <c r="H131" s="309">
        <f>IF(G131&lt;=10000000,G131*0.1,IF(G131&lt;=30000000,G131*0.15-500000,IF(G131&lt;=50000000,G131*0.2-2000000,IF(G131&lt;=100000000,G131*0.3-7000000,IF(G131&lt;=300000000,G131*0.4-17000000,G131*0.5-47000000)))))</f>
        <v>0</v>
      </c>
      <c r="I131" s="308">
        <f>IF(F131=0,0,IF('税額計算（出力シート） '!F9=0,0,ROUNDDOWN(F118*2/3,-3)))</f>
        <v>0</v>
      </c>
      <c r="J131" s="309">
        <f>IF(I131&lt;=10000000,I131*0.1,IF(I131&lt;=30000000,I131*0.15-500000,IF(I131&lt;=50000000,I131*0.2-2000000,IF(I131&lt;=100000000,I131*0.3-7000000,IF(I131&lt;=300000000,I131*0.4-17000000,I131*0.5-47000000)))))</f>
        <v>0</v>
      </c>
    </row>
    <row r="132" spans="1:10" ht="15.95" customHeight="1">
      <c r="A132" s="610">
        <f>IF('税額計算（出力シート） '!F9=0,0,IF('税額計算（出力シート） '!F9&gt;=1,IF('財産集計（入力シート） '!B65=0,'税額計算（出力シート） '!L5,'財産集計（入力シート） '!B65)))</f>
        <v>0</v>
      </c>
      <c r="B132" s="306">
        <f>IF(A132=0,0,IF('財産集計（入力シート） '!B65=0,'税額計算（出力シート） '!F8,'財産集計（入力シート） '!D65))</f>
        <v>0</v>
      </c>
      <c r="C132" s="316">
        <f>IF(A132=0,0,IF('税額計算（出力シート） '!F9&gt;=1,IF('財産集計（入力シート） '!B65=0,0,'財産集計（入力シート） '!I65)))</f>
        <v>0</v>
      </c>
      <c r="D132" s="307">
        <f>IF(A132=0,0,IF('税額計算（出力シート） '!F9=0,0,IF('財産集計（入力シート） '!B65=0,0,'財産集計（入力シート） '!L65)))</f>
        <v>0</v>
      </c>
      <c r="E132" s="308">
        <f>IF('税額計算（出力シート） '!F9=0,0,IF('財産集計（入力シート） '!B65=0,0,'財産集計（入力シート） '!M65))</f>
        <v>0</v>
      </c>
      <c r="F132" s="611">
        <f>IF(A132=0,0,IF(C132&gt;0,0,IF('財産集計（入力シート） '!B65=0,IF('税額計算（出力シート） '!F9=0,0,IF('税額計算（出力シート） '!D9&gt;=1,1/3*1/'税額計算（出力シート） '!F9,1/'税額計算（出力シート） '!F9)))))</f>
        <v>0</v>
      </c>
      <c r="G132" s="308">
        <f>IF(F132=0,0,IF('税額計算（出力シート） '!F9=0,0,IF('税額計算（出力シート） '!D9&gt;=1,ROUNDDOWN('税額計算（出力シート） '!R9*1/3*1/'税額計算（出力シート） '!F9,-3),ROUNDDOWN('税額計算（出力シート） '!R9*1/'税額計算（出力シート） '!F9,-3))))</f>
        <v>0</v>
      </c>
      <c r="H132" s="309">
        <f>IF(G132&lt;=10000000,G132*0.1,IF(G132&lt;=30000000,G132*0.15-500000,IF(G132&lt;=50000000,G132*0.2-2000000,IF(G132&lt;=100000000,G132*0.3-7000000,IF(G132&lt;=300000000,G132*0.4-17000000,G132*0.5-47000000)))))</f>
        <v>0</v>
      </c>
      <c r="I132" s="308">
        <f>IF(F132=0,0,IF('税額計算（出力シート） '!F9=0,0,ROUNDDOWN(F118*1/3*1/'税額計算（出力シート） '!F9,-3)))</f>
        <v>0</v>
      </c>
      <c r="J132" s="309">
        <f>IF(I132&lt;=10000000,I132*0.1,IF(I132&lt;=30000000,I132*0.15-500000,IF(I132&lt;=50000000,I132*0.2-2000000,IF(I132&lt;=100000000,I132*0.3-7000000,IF(I132&lt;=300000000,I132*0.4-17000000,I132*0.5-47000000)))))</f>
        <v>0</v>
      </c>
    </row>
    <row r="133" spans="1:10" ht="15.95" customHeight="1" thickBot="1">
      <c r="A133" s="614">
        <f>IF('税額計算（出力シート） '!F9=0,0,IF('税額計算（出力シート） '!F9&gt;=1,IF('財産集計（入力シート） '!B66=0,'税額計算（出力シート） '!M5,'財産集計（入力シート） '!B66)))</f>
        <v>0</v>
      </c>
      <c r="B133" s="615">
        <f>IF(A133=0,0,IF('財産集計（入力シート） '!B66=0,'税額計算（出力シート） '!F8,'財産集計（入力シート） '!D66))</f>
        <v>0</v>
      </c>
      <c r="C133" s="317">
        <f>IF(A133=0,0,IF('税額計算（出力シート） '!F9=0,0,IF('財産集計（入力シート） '!B66=0,0,'財産集計（入力シート） '!I66)))</f>
        <v>0</v>
      </c>
      <c r="D133" s="318">
        <f>IF(A133=0,0,IF('税額計算（出力シート） '!F9=0,0,IF('財産集計（入力シート） '!B66=0,0,'財産集計（入力シート） '!L66)))</f>
        <v>0</v>
      </c>
      <c r="E133" s="319">
        <f>IF('税額計算（出力シート） '!F9=0,0,IF('財産集計（入力シート） '!B66=0,0,'財産集計（入力シート） '!M66))</f>
        <v>0</v>
      </c>
      <c r="F133" s="611">
        <f>IF(A133=0,0,IF(C133&gt;0,0,IF('財産集計（入力シート） '!B66=0,IF('税額計算（出力シート） '!F9=0,0,IF('税額計算（出力シート） '!D9&gt;=1,1/3*1/'税額計算（出力シート） '!F9,1/'税額計算（出力シート） '!F9)))))</f>
        <v>0</v>
      </c>
      <c r="G133" s="320">
        <f>IF(F133=0,0,IF('税額計算（出力シート） '!F9=0,0,IF('税額計算（出力シート） '!D9&gt;=1,ROUNDDOWN('税額計算（出力シート） '!R9*1/3*1/'税額計算（出力シート） '!F9,-3),ROUNDDOWN('税額計算（出力シート） '!R9*1/'税額計算（出力シート） '!F9,-3))))</f>
        <v>0</v>
      </c>
      <c r="H133" s="321">
        <f>IF(G133&lt;=10000000,G133*0.1,IF(G133&lt;=30000000,G133*0.15-500000,IF(G133&lt;=50000000,G133*0.2-2000000,IF(G133&lt;=100000000,G133*0.3-7000000,IF(G133&lt;=300000000,G133*0.4-17000000,G133*0.5-47000000)))))</f>
        <v>0</v>
      </c>
      <c r="I133" s="308">
        <f>IF(F133=0,0,IF('税額計算（出力シート） '!F9=0,0,ROUNDDOWN(F118*1/3*1/'税額計算（出力シート） '!F9,-3)))</f>
        <v>0</v>
      </c>
      <c r="J133" s="321">
        <f>IF(I133&lt;=10000000,I133*0.1,IF(I133&lt;=30000000,I133*0.15-500000,IF(I133&lt;=50000000,I133*0.2-2000000,IF(I133&lt;=100000000,I133*0.3-7000000,IF(I133&lt;=300000000,I133*0.4-17000000,I133*0.5-47000000)))))</f>
        <v>0</v>
      </c>
    </row>
    <row r="134" spans="1:10" ht="15.95" customHeight="1">
      <c r="A134" s="597" t="s">
        <v>514</v>
      </c>
      <c r="B134" s="820" t="s">
        <v>616</v>
      </c>
      <c r="C134" s="821"/>
      <c r="D134" s="822"/>
      <c r="E134" s="322"/>
      <c r="F134" s="613"/>
      <c r="G134" s="314"/>
      <c r="H134" s="315"/>
      <c r="I134" s="314"/>
      <c r="J134" s="315"/>
    </row>
    <row r="135" spans="1:10" ht="15.95" customHeight="1">
      <c r="A135" s="306">
        <f>IF('税額計算（出力シート） '!D9=0,0,IF('税額計算（出力シート） '!G9=0,0,IF('財産集計（入力シート） '!B57=0,'税額計算（出力シート） '!D5,'財産集計（入力シート） '!B57)))</f>
        <v>0</v>
      </c>
      <c r="B135" s="306">
        <f>IF(A135=0,0,IF('財産集計（入力シート） '!B57=0,'税額計算（出力シート） '!D8,'財産集計（入力シート） '!D57))</f>
        <v>0</v>
      </c>
      <c r="C135" s="316">
        <f>IF(A135=0,0,IF('税額計算（出力シート） '!G9=0,0,IF('財産集計（入力シート） '!B57=0,0,'財産集計（入力シート） '!I57)))</f>
        <v>0</v>
      </c>
      <c r="D135" s="307">
        <f>IF(A135=0,0,IF('税額計算（出力シート） '!G9=0,0,IF('財産集計（入力シート） '!B57=0,0,'財産集計（入力シート） '!L57)))</f>
        <v>0</v>
      </c>
      <c r="E135" s="308">
        <f>IF('税額計算（出力シート） '!G9=0,0,IF('財産集計（入力シート） '!B57=0,0,'財産集計（入力シート） '!M57))</f>
        <v>0</v>
      </c>
      <c r="F135" s="611">
        <f>IF(A135=0,0,IF(C135&gt;0,0,IF('財産集計（入力シート） '!B57=0,IF('税額計算（出力シート） '!G9=0,0,IF('税額計算（出力シート） '!D9&gt;=1,3/4,0)))))</f>
        <v>0</v>
      </c>
      <c r="G135" s="323">
        <f>IF(F135=0,0,IF('税額計算（出力シート） '!G9=0,0,IF('税額計算（出力シート） '!D9&gt;=1,ROUNDDOWN('税額計算（出力シート） '!R9*3/4,-3),0)))</f>
        <v>0</v>
      </c>
      <c r="H135" s="324">
        <f>IF(G135&lt;=10000000,G135*0.1,IF(G135&lt;=30000000,G135*0.15-500000,IF(G135&lt;=50000000,G135*0.2-2000000,IF(G135&lt;=100000000,G135*0.3-7000000,IF(G135&lt;=300000000,G135*0.4-17000000,G135*0.5-47000000)))))</f>
        <v>0</v>
      </c>
      <c r="I135" s="323">
        <f>IF(F135=0,0,IF('税額計算（出力シート） '!G9=0,0,ROUNDDOWN(F118*3/4,-3)))</f>
        <v>0</v>
      </c>
      <c r="J135" s="324">
        <f>IF(I135&lt;=10000000,I135*0.1,IF(I135&lt;=30000000,I135*0.15-500000,IF(I135&lt;=50000000,I135*0.2-2000000,IF(I135&lt;=100000000,I135*0.3-7000000,IF(I135&lt;=300000000,I135*0.4-17000000,I135*0.5-47000000)))))</f>
        <v>0</v>
      </c>
    </row>
    <row r="136" spans="1:10" ht="15.95" customHeight="1">
      <c r="A136" s="306">
        <f>IF('税額計算（出力シート） '!G9=0,0,IF('税額計算（出力シート） '!G9&gt;=1,IF('財産集計（入力シート） '!B67=0,'税額計算（出力シート） '!N5,'財産集計（入力シート） '!B67)))</f>
        <v>0</v>
      </c>
      <c r="B136" s="306">
        <f>IF(A136=0,0,IF('財産集計（入力シート） '!B67=0,'税額計算（出力シート） '!G8,'財産集計（入力シート） '!D67))</f>
        <v>0</v>
      </c>
      <c r="C136" s="316">
        <f>IF(A136=0,0,IF('税額計算（出力シート） '!G9=0,0,IF('財産集計（入力シート） '!B67=0,0,'財産集計（入力シート） '!I67)))</f>
        <v>0</v>
      </c>
      <c r="D136" s="307">
        <f>IF(A136=0,0,IF('税額計算（出力シート） '!G9=0,0,IF('財産集計（入力シート） '!B67=0,0,'財産集計（入力シート） '!L67)))</f>
        <v>0</v>
      </c>
      <c r="E136" s="308">
        <f>IF('税額計算（出力シート） '!G9=0,0,IF('財産集計（入力シート） '!B67=0,0,'財産集計（入力シート） '!M67))</f>
        <v>0</v>
      </c>
      <c r="F136" s="611">
        <f>IF(A136=0,0,IF(C136&gt;0,0,IF('税額計算（出力シート） '!G9=0,0,IF('財産集計（入力シート） '!B67=0,IF('税額計算（出力シート） '!D9&gt;=1,1/4*1/'税額計算（出力シート） '!G9,1/'税額計算（出力シート） '!G9)))))</f>
        <v>0</v>
      </c>
      <c r="G136" s="308">
        <f>IF(F136=0,0,IF('税額計算（出力シート） '!G9=0,0,IF('税額計算（出力シート） '!D9=1,ROUNDDOWN('税額計算（出力シート） '!R9*1/4*1/'税額計算（出力シート） '!G9,-3),ROUNDDOWN('税額計算（出力シート） '!R9*1/'税額計算（出力シート） '!G9,-3))))</f>
        <v>0</v>
      </c>
      <c r="H136" s="324">
        <f>IF(G136&lt;=10000000,G136*0.1,IF(G136&lt;=30000000,G136*0.15-500000,IF(G136&lt;=50000000,G136*0.2-2000000,IF(G136&lt;=100000000,G136*0.3-7000000,IF(G136&lt;=300000000,G136*0.4-17000000,G136*0.5-47000000)))))</f>
        <v>0</v>
      </c>
      <c r="I136" s="308">
        <f>IF(F136=0,0,IF('税額計算（出力シート） '!G9=0,0,ROUNDDOWN(F118*1/4*1/'税額計算（出力シート） '!G9,-3)))</f>
        <v>0</v>
      </c>
      <c r="J136" s="324">
        <f>IF(I136&lt;=10000000,I136*0.1,IF(I136&lt;=30000000,I136*0.15-500000,IF(I136&lt;=50000000,I136*0.2-2000000,IF(I136&lt;=100000000,I136*0.3-7000000,IF(I136&lt;=300000000,I136*0.4-17000000,I136*0.5-47000000)))))</f>
        <v>0</v>
      </c>
    </row>
    <row r="137" spans="1:10" ht="15.95" customHeight="1">
      <c r="A137" s="306">
        <f>IF('税額計算（出力シート） '!G9=0,0,IF('税額計算（出力シート） '!G9&gt;=1,IF('財産集計（入力シート） '!B68=0,'税額計算（出力シート） '!O5,'財産集計（入力シート） '!B68)))</f>
        <v>0</v>
      </c>
      <c r="B137" s="306">
        <f>IF(A137=0,0,IF('財産集計（入力シート） '!B68=0,'税額計算（出力シート） '!G8,'財産集計（入力シート） '!D68))</f>
        <v>0</v>
      </c>
      <c r="C137" s="316">
        <f>IF(A137=0,0,IF('税額計算（出力シート） '!G9=0,0,IF('財産集計（入力シート） '!B68=0,0,'財産集計（入力シート） '!I68)))</f>
        <v>0</v>
      </c>
      <c r="D137" s="307">
        <f>IF(A137=0,0,IF('税額計算（出力シート） '!G9=0,0,IF('財産集計（入力シート） '!B68=0,0,'財産集計（入力シート） '!L68)))</f>
        <v>0</v>
      </c>
      <c r="E137" s="308">
        <f>IF('税額計算（出力シート） '!G9=0,0,IF('財産集計（入力シート） '!B68=0,0,'財産集計（入力シート） '!M68))</f>
        <v>0</v>
      </c>
      <c r="F137" s="611">
        <f>IF(A137=0,0,IF(C137&gt;0,0,IF('税額計算（出力シート） '!G9=0,0,IF('財産集計（入力シート） '!B68=0,IF('税額計算（出力シート） '!D9&gt;=1,1/4*1/'税額計算（出力シート） '!G9,1/'税額計算（出力シート） '!G9)))))</f>
        <v>0</v>
      </c>
      <c r="G137" s="308">
        <f>IF(F137=0,0,IF('税額計算（出力シート） '!G9=0,0,IF('税額計算（出力シート） '!D9=1,ROUNDDOWN('税額計算（出力シート） '!R9*1/4*1/'税額計算（出力シート） '!G9,-3),ROUNDDOWN('税額計算（出力シート） '!R9*1/'税額計算（出力シート） '!G9,-3))))</f>
        <v>0</v>
      </c>
      <c r="H137" s="324">
        <f>IF(G137&lt;=10000000,G137*0.1,IF(G137&lt;=30000000,G137*0.15-500000,IF(G137&lt;=50000000,G137*0.2-2000000,IF(G137&lt;=100000000,G137*0.3-7000000,IF(G137&lt;=300000000,G137*0.4-17000000,G137*0.5-47000000)))))</f>
        <v>0</v>
      </c>
      <c r="I137" s="308">
        <f>IF(F137=0,0,IF('税額計算（出力シート） '!G9=0,0,ROUNDDOWN(F118*1/4*1/'税額計算（出力シート） '!G9,-3)))</f>
        <v>0</v>
      </c>
      <c r="J137" s="324">
        <f>IF(I137&lt;=10000000,I137*0.1,IF(I137&lt;=30000000,I137*0.15-500000,IF(I137&lt;=50000000,I137*0.2-2000000,IF(I137&lt;=100000000,I137*0.3-7000000,IF(I137&lt;=300000000,I137*0.4-17000000,I137*0.5-47000000)))))</f>
        <v>0</v>
      </c>
    </row>
    <row r="138" spans="1:10" ht="15.95" customHeight="1">
      <c r="A138" s="306">
        <f>IF('税額計算（出力シート） '!G9=0,0,IF('税額計算（出力シート） '!G9&gt;=1,IF('財産集計（入力シート） '!B69=0,'税額計算（出力シート） '!P5,'財産集計（入力シート） '!B69)))</f>
        <v>0</v>
      </c>
      <c r="B138" s="306">
        <f>IF(A138=0,0,IF('財産集計（入力シート） '!B69=0,'税額計算（出力シート） '!G8,'財産集計（入力シート） '!D69))</f>
        <v>0</v>
      </c>
      <c r="C138" s="316">
        <f>IF(A138=0,0,IF('税額計算（出力シート） '!G9=0,0,IF('財産集計（入力シート） '!B69=0,0,'財産集計（入力シート） '!I69)))</f>
        <v>0</v>
      </c>
      <c r="D138" s="307">
        <f>IF(A138=0,0,IF('税額計算（出力シート） '!G9=0,0,IF('財産集計（入力シート） '!B69=0,0,'財産集計（入力シート） '!L69)))</f>
        <v>0</v>
      </c>
      <c r="E138" s="308">
        <f>IF('税額計算（出力シート） '!G9=0,0,IF('財産集計（入力シート） '!B69=0,0,'財産集計（入力シート） '!M69))</f>
        <v>0</v>
      </c>
      <c r="F138" s="611">
        <f>IF(A138=0,0,IF(C138&gt;0,0,IF('税額計算（出力シート） '!G9=0,0,IF('財産集計（入力シート） '!B69=0,IF('税額計算（出力シート） '!D9&gt;=1,1/4*1/'税額計算（出力シート） '!G9,1/'税額計算（出力シート） '!G9)))))</f>
        <v>0</v>
      </c>
      <c r="G138" s="308">
        <f>IF(F138=0,0,IF('税額計算（出力シート） '!G9=0,0,IF('税額計算（出力シート） '!D9=1,ROUNDDOWN('税額計算（出力シート） '!R9*1/4*1/'税額計算（出力シート） '!G9,-3),ROUNDDOWN('税額計算（出力シート） '!R9*1/'税額計算（出力シート） '!G9,-3))))</f>
        <v>0</v>
      </c>
      <c r="H138" s="324">
        <f>IF(G138&lt;=10000000,G138*0.1,IF(G138&lt;=30000000,G138*0.15-500000,IF(G138&lt;=50000000,G138*0.2-2000000,IF(G138&lt;=100000000,G138*0.3-7000000,IF(G138&lt;=300000000,G138*0.4-17000000,G138*0.5-47000000)))))</f>
        <v>0</v>
      </c>
      <c r="I138" s="308">
        <f>IF(F138=0,0,IF('税額計算（出力シート） '!G9=0,0,ROUNDDOWN(F118*1/4*1/'税額計算（出力シート） '!G9,-3)))</f>
        <v>0</v>
      </c>
      <c r="J138" s="324">
        <f>IF(I138&lt;=10000000,I138*0.1,IF(I138&lt;=30000000,I138*0.15-500000,IF(I138&lt;=50000000,I138*0.2-2000000,IF(I138&lt;=100000000,I138*0.3-7000000,IF(I138&lt;=300000000,I138*0.4-17000000,I138*0.5-47000000)))))</f>
        <v>0</v>
      </c>
    </row>
    <row r="139" spans="1:10" ht="15.95" customHeight="1" thickBot="1">
      <c r="A139" s="354">
        <f>IF('税額計算（出力シート） '!G9=0,0,IF('税額計算（出力シート） '!G9&gt;=1,IF('財産集計（入力シート） '!B70=0,'税額計算（出力シート） '!Q5,'財産集計（入力シート） '!B70)))</f>
        <v>0</v>
      </c>
      <c r="B139" s="354">
        <f>IF(A139=0,0,IF('財産集計（入力シート） '!B70=0,'税額計算（出力シート） '!G8,'財産集計（入力シート） '!D70))</f>
        <v>0</v>
      </c>
      <c r="C139" s="325">
        <f>IF(A139=0,0,IF('税額計算（出力シート） '!G9=0,0,IF('財産集計（入力シート） '!B70=0,0,'財産集計（入力シート） '!I70)))</f>
        <v>0</v>
      </c>
      <c r="D139" s="326">
        <f>IF(A139=0,0,IF('税額計算（出力シート） '!G9=0,0,IF('財産集計（入力シート） '!B70=0,0,'財産集計（入力シート） '!L70)))</f>
        <v>0</v>
      </c>
      <c r="E139" s="320">
        <f>IF('税額計算（出力シート） '!G9=0,0,IF('財産集計（入力シート） '!B70=0,0,'財産集計（入力シート） '!M70))</f>
        <v>0</v>
      </c>
      <c r="F139" s="616">
        <f>IF(A139=0,0,IF(C139&gt;0,0,IF('税額計算（出力シート） '!G9=0,0,IF('財産集計（入力シート） '!B70=0,IF('税額計算（出力シート） '!D9&gt;=1,1/4*1/'税額計算（出力シート） '!G9,1/'税額計算（出力シート） '!G9)))))</f>
        <v>0</v>
      </c>
      <c r="G139" s="320">
        <f>IF(F139=0,0,IF('税額計算（出力シート） '!G9=0,0,IF('税額計算（出力シート） '!D9=1,ROUNDDOWN('税額計算（出力シート） '!R9*1/4*1/'税額計算（出力シート） '!G9,-3),ROUNDDOWN('税額計算（出力シート） '!R9*1/'税額計算（出力シート） '!G9,-3))))</f>
        <v>0</v>
      </c>
      <c r="H139" s="327">
        <f>IF(G139&lt;=10000000,G139*0.1,IF(G139&lt;=30000000,G139*0.15-500000,IF(G139&lt;=50000000,G139*0.2-2000000,IF(G139&lt;=100000000,G139*0.3-7000000,IF(G139&lt;=300000000,G139*0.4-17000000,G139*0.5-47000000)))))</f>
        <v>0</v>
      </c>
      <c r="I139" s="320">
        <f>IF(F139=0,0,IF('税額計算（出力シート） '!G9=0,0,ROUNDDOWN(F118*1/4*1/'税額計算（出力シート） '!G9,-3)))</f>
        <v>0</v>
      </c>
      <c r="J139" s="327">
        <f>IF(I139&lt;=10000000,I139*0.1,IF(I139&lt;=30000000,I139*0.15-500000,IF(I139&lt;=50000000,I139*0.2-2000000,IF(I139&lt;=100000000,I139*0.3-7000000,IF(I139&lt;=300000000,I139*0.4-17000000,I139*0.5-47000000)))))</f>
        <v>0</v>
      </c>
    </row>
    <row r="140" spans="1:10" ht="15.95" customHeight="1">
      <c r="A140" s="331"/>
      <c r="B140" s="331"/>
      <c r="C140" s="328"/>
      <c r="D140" s="259" t="s">
        <v>357</v>
      </c>
      <c r="E140" s="460">
        <f>SUM(E122:E139)</f>
        <v>492456900</v>
      </c>
      <c r="F140" s="617"/>
      <c r="G140" s="259" t="s">
        <v>357</v>
      </c>
      <c r="H140" s="460">
        <f>SUM(H122:H139)</f>
        <v>0</v>
      </c>
      <c r="I140" s="259" t="s">
        <v>621</v>
      </c>
      <c r="J140" s="418"/>
    </row>
    <row r="141" spans="1:10" ht="15.95" customHeight="1">
      <c r="A141" s="295"/>
      <c r="B141" s="295"/>
      <c r="C141" s="328"/>
      <c r="D141" s="331"/>
      <c r="E141" s="332"/>
      <c r="F141" s="329"/>
      <c r="G141" s="333"/>
      <c r="H141" s="333"/>
      <c r="I141" s="331"/>
      <c r="J141" s="295"/>
    </row>
    <row r="142" spans="1:10" ht="15.95" customHeight="1">
      <c r="A142" s="295"/>
      <c r="B142" s="295"/>
      <c r="C142" s="328"/>
      <c r="D142" s="331"/>
      <c r="E142" s="332"/>
      <c r="F142" s="329"/>
      <c r="G142" s="333"/>
      <c r="H142" s="333"/>
      <c r="I142" s="331"/>
      <c r="J142" s="295"/>
    </row>
    <row r="143" spans="1:10" ht="15.95" customHeight="1">
      <c r="A143" s="295"/>
      <c r="B143" s="295"/>
      <c r="C143" s="328"/>
      <c r="D143" s="331"/>
      <c r="E143" s="332"/>
      <c r="F143" s="329"/>
      <c r="G143" s="333"/>
      <c r="H143" s="333"/>
      <c r="I143" s="331"/>
      <c r="J143" s="295"/>
    </row>
    <row r="144" spans="1:10" ht="15.95" customHeight="1">
      <c r="A144" s="295"/>
      <c r="B144" s="295"/>
      <c r="C144" s="328"/>
      <c r="D144" s="331"/>
      <c r="E144" s="332"/>
      <c r="F144" s="329"/>
      <c r="G144" s="333"/>
      <c r="H144" s="333"/>
      <c r="I144" s="331"/>
      <c r="J144" s="295"/>
    </row>
    <row r="145" spans="1:9" ht="15.95" customHeight="1">
      <c r="A145" s="295"/>
      <c r="B145" s="295"/>
      <c r="C145" s="328"/>
      <c r="D145" s="334"/>
      <c r="E145" s="333"/>
      <c r="F145" s="329"/>
      <c r="G145" s="333"/>
      <c r="H145" s="333"/>
    </row>
    <row r="146" spans="1:9" ht="15.95" customHeight="1">
      <c r="A146" s="295"/>
      <c r="B146" s="295"/>
      <c r="C146" s="328"/>
      <c r="D146" s="334"/>
      <c r="E146" s="333"/>
      <c r="F146" s="329"/>
      <c r="G146" s="333"/>
      <c r="H146" s="333"/>
    </row>
    <row r="147" spans="1:9" ht="15.95" customHeight="1">
      <c r="A147" s="295"/>
      <c r="B147" s="295"/>
      <c r="C147" s="328"/>
      <c r="D147" s="334"/>
      <c r="E147" s="333"/>
      <c r="F147" s="329"/>
      <c r="G147" s="333"/>
      <c r="H147" s="333"/>
    </row>
    <row r="148" spans="1:9" ht="15.95" customHeight="1">
      <c r="A148" s="295"/>
      <c r="B148" s="295"/>
      <c r="C148" s="328"/>
      <c r="D148" s="334"/>
      <c r="E148" s="333"/>
      <c r="F148" s="329"/>
      <c r="G148" s="333"/>
      <c r="H148" s="333"/>
    </row>
    <row r="149" spans="1:9" ht="15.95" customHeight="1">
      <c r="A149" s="295"/>
      <c r="B149" s="295"/>
      <c r="C149" s="335"/>
      <c r="D149" s="295"/>
      <c r="E149" s="336"/>
      <c r="F149" s="295"/>
      <c r="G149" s="336"/>
      <c r="H149" s="295"/>
    </row>
    <row r="150" spans="1:9" ht="15.95" customHeight="1">
      <c r="A150" s="282" t="s">
        <v>176</v>
      </c>
      <c r="B150" s="808" t="s">
        <v>313</v>
      </c>
      <c r="C150" s="808"/>
    </row>
    <row r="151" spans="1:9" ht="15.95" customHeight="1">
      <c r="D151" s="337" t="s">
        <v>577</v>
      </c>
    </row>
    <row r="152" spans="1:9" ht="15.95" customHeight="1">
      <c r="A152" s="301" t="s">
        <v>147</v>
      </c>
      <c r="B152" s="338" t="s">
        <v>148</v>
      </c>
      <c r="C152" s="337" t="str">
        <f>IF(B153=0,"",'財産集計（入力シート） '!D7)</f>
        <v/>
      </c>
      <c r="D152" s="337" t="str">
        <f>IF(B153=0,"",'財産集計（入力シート） '!E7)</f>
        <v/>
      </c>
      <c r="E152" s="337" t="str">
        <f>IF(B153=0,"",'財産集計（入力シート） '!F7)</f>
        <v/>
      </c>
      <c r="F152" s="337" t="str">
        <f>IF(B153=0,"",'財産集計（入力シート） '!G7)</f>
        <v/>
      </c>
      <c r="G152" s="337" t="str">
        <f>IF(B153=0,"",'財産集計（入力シート） '!H7)</f>
        <v/>
      </c>
      <c r="H152" s="337" t="str">
        <f>IF(B153=0,"",'財産集計（入力シート） '!I7)</f>
        <v/>
      </c>
      <c r="I152" s="339" t="s">
        <v>348</v>
      </c>
    </row>
    <row r="153" spans="1:9" ht="15.95" customHeight="1">
      <c r="A153" s="340" t="s">
        <v>575</v>
      </c>
      <c r="B153" s="301">
        <f>IF(D153=0,0,SUM(C153:I153))</f>
        <v>0</v>
      </c>
      <c r="C153" s="291"/>
      <c r="D153" s="341">
        <f>IF(F903=0,0,E908)</f>
        <v>0</v>
      </c>
      <c r="E153" s="291"/>
      <c r="F153" s="291"/>
      <c r="G153" s="291"/>
      <c r="H153" s="291"/>
      <c r="I153" s="291"/>
    </row>
    <row r="154" spans="1:9" ht="15.95" customHeight="1">
      <c r="A154" s="340" t="s">
        <v>576</v>
      </c>
      <c r="B154" s="301">
        <f>SUM(C154:I154)</f>
        <v>0</v>
      </c>
      <c r="C154" s="205">
        <f>IF(B153=0,0,'財産集計（入力シート） '!D44)</f>
        <v>0</v>
      </c>
      <c r="D154" s="205">
        <f>IF(B153=0,0,'財産集計（入力シート） '!E44)</f>
        <v>0</v>
      </c>
      <c r="E154" s="205">
        <f>IF(B153=0,0,'財産集計（入力シート） '!F44)</f>
        <v>0</v>
      </c>
      <c r="F154" s="205">
        <f>IF(B153=0,0,'財産集計（入力シート） '!G44)</f>
        <v>0</v>
      </c>
      <c r="G154" s="205">
        <f>IF(B153=0,0,'財産集計（入力シート） '!H44)</f>
        <v>0</v>
      </c>
      <c r="H154" s="205">
        <f>IF(B153=0,0,'財産集計（入力シート） '!I44)</f>
        <v>0</v>
      </c>
      <c r="I154" s="205">
        <f>SUM(B172:I172)</f>
        <v>0</v>
      </c>
    </row>
    <row r="155" spans="1:9" ht="15.95" customHeight="1">
      <c r="A155" s="340" t="s">
        <v>591</v>
      </c>
      <c r="B155" s="301">
        <f>SUM(C155:I155)</f>
        <v>0</v>
      </c>
      <c r="C155" s="205">
        <f>IF(B153=0,0,'財産集計（入力シート） '!D42+'財産集計（入力シート） '!D43)</f>
        <v>0</v>
      </c>
      <c r="D155" s="205">
        <f>IF(B153=0,0,'財産集計（入力シート） '!E42+'財産集計（入力シート） '!E43)</f>
        <v>0</v>
      </c>
      <c r="E155" s="205">
        <f>IF(B153=0,0,'財産集計（入力シート） '!F42+'財産集計（入力シート） '!F43)</f>
        <v>0</v>
      </c>
      <c r="F155" s="205">
        <f>IF(B153=0,0,'財産集計（入力シート） '!G42+'財産集計（入力シート） '!G43)</f>
        <v>0</v>
      </c>
      <c r="G155" s="205">
        <f>IF(B153=0,0,'財産集計（入力シート） '!H42+'財産集計（入力シート） '!H43)</f>
        <v>0</v>
      </c>
      <c r="H155" s="205">
        <f>IF(B153=0,0,'財産集計（入力シート） '!I42+'財産集計（入力シート） '!I43)</f>
        <v>0</v>
      </c>
      <c r="I155" s="205">
        <f>SUM(B173:I173)</f>
        <v>0</v>
      </c>
    </row>
    <row r="156" spans="1:9" ht="15.95" customHeight="1">
      <c r="A156" s="340" t="s">
        <v>592</v>
      </c>
      <c r="B156" s="301">
        <f>SUM(C156:I156)</f>
        <v>0</v>
      </c>
      <c r="C156" s="205">
        <f>IF(C154-C155&lt;0,0,C154-C155)</f>
        <v>0</v>
      </c>
      <c r="D156" s="205">
        <f>IF(D153+D154-D155&lt;0,0,D153+D154-D155)</f>
        <v>0</v>
      </c>
      <c r="E156" s="205">
        <f>IF(E154-E155&lt;0,0-E155,)</f>
        <v>0</v>
      </c>
      <c r="F156" s="205">
        <f>IF(F154-F155&lt;0,0,F154-F155)</f>
        <v>0</v>
      </c>
      <c r="G156" s="205">
        <f>IF(G154-G155&lt;0,0,G154-G155)</f>
        <v>0</v>
      </c>
      <c r="H156" s="205">
        <f>IF(H154-H155&lt;0,0,H154-H155)</f>
        <v>0</v>
      </c>
      <c r="I156" s="205">
        <f t="shared" ref="I156:I165" si="17">SUM(B174:I174)</f>
        <v>0</v>
      </c>
    </row>
    <row r="157" spans="1:9" ht="15.95" customHeight="1">
      <c r="A157" s="340" t="s">
        <v>593</v>
      </c>
      <c r="B157" s="301">
        <f>SUM(C157:I157)</f>
        <v>0</v>
      </c>
      <c r="C157" s="205">
        <f>IF(B153=0,0,'財産集計（入力シート） '!D45+'財産集計（入力シート） '!D46)</f>
        <v>0</v>
      </c>
      <c r="D157" s="205">
        <f>IF(B153=0,0,'財産集計（入力シート） '!E45+'財産集計（入力シート） '!E46)</f>
        <v>0</v>
      </c>
      <c r="E157" s="205">
        <f>IF(B153=0,0,'財産集計（入力シート） '!F45+'財産集計（入力シート） '!F46)</f>
        <v>0</v>
      </c>
      <c r="F157" s="205">
        <f>IF(B153=0,0,'財産集計（入力シート） '!G45+'財産集計（入力シート） '!G46)</f>
        <v>0</v>
      </c>
      <c r="G157" s="205">
        <f>IF(B153=0,0,'財産集計（入力シート） '!H45+'財産集計（入力シート） '!H46)</f>
        <v>0</v>
      </c>
      <c r="H157" s="205">
        <f>IF(B153=0,0,'財産集計（入力シート） '!I45+'財産集計（入力シート） '!I46)</f>
        <v>0</v>
      </c>
      <c r="I157" s="205">
        <f t="shared" si="17"/>
        <v>0</v>
      </c>
    </row>
    <row r="158" spans="1:9" ht="15.95" customHeight="1">
      <c r="A158" s="340" t="s">
        <v>594</v>
      </c>
      <c r="B158" s="301">
        <f>SUM(C158:I158)</f>
        <v>0</v>
      </c>
      <c r="C158" s="205">
        <f t="shared" ref="C158:H158" si="18">ROUNDDOWN(C156+C157,-3)</f>
        <v>0</v>
      </c>
      <c r="D158" s="205">
        <f t="shared" si="18"/>
        <v>0</v>
      </c>
      <c r="E158" s="205">
        <f t="shared" si="18"/>
        <v>0</v>
      </c>
      <c r="F158" s="205">
        <f t="shared" si="18"/>
        <v>0</v>
      </c>
      <c r="G158" s="205">
        <f t="shared" si="18"/>
        <v>0</v>
      </c>
      <c r="H158" s="205">
        <f t="shared" si="18"/>
        <v>0</v>
      </c>
      <c r="I158" s="205">
        <f t="shared" si="17"/>
        <v>0</v>
      </c>
    </row>
    <row r="159" spans="1:9" ht="15.95" customHeight="1">
      <c r="A159" s="340" t="s">
        <v>595</v>
      </c>
      <c r="B159" s="301">
        <f>IF(B153=0,0,J140)</f>
        <v>0</v>
      </c>
      <c r="C159" s="342"/>
      <c r="D159" s="342"/>
      <c r="E159" s="342"/>
      <c r="F159" s="342"/>
      <c r="G159" s="342"/>
      <c r="H159" s="342"/>
      <c r="I159" s="342"/>
    </row>
    <row r="160" spans="1:9" ht="15.95" customHeight="1">
      <c r="A160" s="340" t="s">
        <v>597</v>
      </c>
      <c r="B160" s="293">
        <v>1</v>
      </c>
      <c r="C160" s="293">
        <f>IF(B153=0,0,1-(D160+E160+F160+G160+H160+I160))</f>
        <v>0</v>
      </c>
      <c r="D160" s="293">
        <f>IF(B159=0,0,ROUND(D158/B158,4))</f>
        <v>0</v>
      </c>
      <c r="E160" s="293">
        <f>IF(B159=0,0,ROUND(E158/B158,4))</f>
        <v>0</v>
      </c>
      <c r="F160" s="293">
        <f>IF(B159=0,0,ROUND(F158/B158,4))</f>
        <v>0</v>
      </c>
      <c r="G160" s="293">
        <f>IF(B159=0,0,ROUND(G158/B158,4))</f>
        <v>0</v>
      </c>
      <c r="H160" s="293">
        <f>IF(B159=0,0,ROUND(H158/B158,4))</f>
        <v>0</v>
      </c>
      <c r="I160" s="343">
        <f t="shared" si="17"/>
        <v>0</v>
      </c>
    </row>
    <row r="161" spans="1:9" ht="15.95" customHeight="1">
      <c r="A161" s="340" t="s">
        <v>596</v>
      </c>
      <c r="B161" s="301">
        <f>SUM(C161:I161)</f>
        <v>0</v>
      </c>
      <c r="C161" s="301">
        <f>IF(B153=0,0,ROUNDDOWN(B159*C160,0))</f>
        <v>0</v>
      </c>
      <c r="D161" s="301">
        <f>IF(B153=0,0,ROUNDDOWN(B159*D160,0))</f>
        <v>0</v>
      </c>
      <c r="E161" s="301">
        <f>IF(B153=0,0,ROUNDDOWN(B159*E160,0))</f>
        <v>0</v>
      </c>
      <c r="F161" s="301">
        <f>IF(B153=0,0,ROUNDDOWN(B159*F160,0))</f>
        <v>0</v>
      </c>
      <c r="G161" s="301">
        <f>IF(B153=0,0,ROUNDDOWN(B159*G160,0))</f>
        <v>0</v>
      </c>
      <c r="H161" s="301">
        <f>IF(B153=0,0,ROUNDDOWN(B159*H160,0))</f>
        <v>0</v>
      </c>
      <c r="I161" s="344">
        <f t="shared" si="17"/>
        <v>0</v>
      </c>
    </row>
    <row r="162" spans="1:9" ht="15.95" customHeight="1">
      <c r="A162" s="340" t="s">
        <v>598</v>
      </c>
      <c r="B162" s="345">
        <f>IF(B153=0,0,B20-J140)</f>
        <v>0</v>
      </c>
      <c r="C162" s="338" t="s">
        <v>599</v>
      </c>
      <c r="D162" s="301">
        <f>IF(B153=0,0,B20)</f>
        <v>0</v>
      </c>
      <c r="E162" s="337" t="s">
        <v>177</v>
      </c>
      <c r="F162" s="337" t="s">
        <v>600</v>
      </c>
      <c r="G162" s="205">
        <f>IF(B153=0,0,B159)</f>
        <v>0</v>
      </c>
      <c r="H162" s="346"/>
      <c r="I162" s="346"/>
    </row>
    <row r="163" spans="1:9" ht="15.95" customHeight="1">
      <c r="A163" s="340" t="s">
        <v>601</v>
      </c>
      <c r="B163" s="345">
        <f>IF(B153=0,0,C908)</f>
        <v>0</v>
      </c>
      <c r="C163" s="301"/>
      <c r="D163" s="301">
        <f>IF(B153=0,0,C908)</f>
        <v>0</v>
      </c>
      <c r="E163" s="301"/>
      <c r="F163" s="301"/>
      <c r="G163" s="301"/>
      <c r="H163" s="301"/>
      <c r="I163" s="344">
        <f t="shared" si="17"/>
        <v>0</v>
      </c>
    </row>
    <row r="164" spans="1:9" ht="15.95" customHeight="1">
      <c r="A164" s="340" t="s">
        <v>602</v>
      </c>
      <c r="B164" s="301">
        <f>SUM(C164:I164)</f>
        <v>0</v>
      </c>
      <c r="C164" s="301"/>
      <c r="D164" s="301">
        <f>IF(B153=0,0,ROUNDDOWN(B162*D163/B163,0))</f>
        <v>0</v>
      </c>
      <c r="E164" s="301"/>
      <c r="F164" s="301"/>
      <c r="G164" s="301"/>
      <c r="H164" s="301"/>
      <c r="I164" s="344">
        <f t="shared" si="17"/>
        <v>0</v>
      </c>
    </row>
    <row r="165" spans="1:9" ht="15.95" customHeight="1">
      <c r="A165" s="340" t="s">
        <v>603</v>
      </c>
      <c r="B165" s="301">
        <f>SUM(C165:I165)</f>
        <v>0</v>
      </c>
      <c r="C165" s="301">
        <f t="shared" ref="C165:H165" si="19">C161+C164</f>
        <v>0</v>
      </c>
      <c r="D165" s="301">
        <f t="shared" si="19"/>
        <v>0</v>
      </c>
      <c r="E165" s="301">
        <f t="shared" si="19"/>
        <v>0</v>
      </c>
      <c r="F165" s="301">
        <f t="shared" si="19"/>
        <v>0</v>
      </c>
      <c r="G165" s="301">
        <f t="shared" si="19"/>
        <v>0</v>
      </c>
      <c r="H165" s="301">
        <f t="shared" si="19"/>
        <v>0</v>
      </c>
      <c r="I165" s="344">
        <f t="shared" si="17"/>
        <v>0</v>
      </c>
    </row>
    <row r="166" spans="1:9" ht="15.95" customHeight="1">
      <c r="A166" s="331"/>
      <c r="B166" s="295"/>
      <c r="C166" s="295"/>
      <c r="D166" s="295"/>
      <c r="E166" s="295"/>
      <c r="F166" s="295"/>
      <c r="G166" s="295"/>
      <c r="H166" s="295"/>
      <c r="I166" s="347"/>
    </row>
    <row r="167" spans="1:9" ht="15.95" customHeight="1">
      <c r="A167" s="331"/>
      <c r="B167" s="295"/>
      <c r="C167" s="295"/>
      <c r="D167" s="295"/>
      <c r="E167" s="295"/>
      <c r="F167" s="295"/>
      <c r="G167" s="295"/>
      <c r="H167" s="295"/>
      <c r="I167" s="347"/>
    </row>
    <row r="168" spans="1:9" ht="15.95" customHeight="1">
      <c r="A168" s="282" t="s">
        <v>632</v>
      </c>
      <c r="B168" s="295"/>
      <c r="C168" s="295"/>
      <c r="D168" s="295"/>
      <c r="E168" s="295"/>
      <c r="F168" s="295"/>
      <c r="G168" s="295"/>
      <c r="H168" s="295"/>
      <c r="I168" s="347"/>
    </row>
    <row r="170" spans="1:9" ht="15.95" customHeight="1">
      <c r="A170" s="301" t="s">
        <v>147</v>
      </c>
      <c r="B170" s="338" t="str">
        <f>IF(B153=0,"",'財産集計（入力シート） '!J7)</f>
        <v/>
      </c>
      <c r="C170" s="338" t="str">
        <f>IF(B153=0,"",'財産集計（入力シート） '!K7)</f>
        <v/>
      </c>
      <c r="D170" s="338" t="str">
        <f>IF(B153=0,"",'財産集計（入力シート） '!L7)</f>
        <v/>
      </c>
      <c r="E170" s="338" t="str">
        <f>IF(B153=0,"",'財産集計（入力シート） '!M7)</f>
        <v/>
      </c>
      <c r="F170" s="338" t="str">
        <f>IF(B153=0,"",'財産集計（入力シート） '!N7)</f>
        <v/>
      </c>
      <c r="G170" s="338" t="str">
        <f>IF(B153=0,"",'財産集計（入力シート） '!O7)</f>
        <v/>
      </c>
      <c r="H170" s="338" t="str">
        <f>IF(B153=0,"",'財産集計（入力シート） '!P7)</f>
        <v/>
      </c>
      <c r="I170" s="338" t="str">
        <f>IF(C153=0,"",'財産集計（入力シート） '!Q7)</f>
        <v/>
      </c>
    </row>
    <row r="171" spans="1:9" ht="15.95" customHeight="1">
      <c r="A171" s="340" t="s">
        <v>575</v>
      </c>
      <c r="B171" s="291"/>
      <c r="C171" s="291"/>
      <c r="D171" s="291"/>
      <c r="E171" s="291"/>
      <c r="F171" s="291"/>
      <c r="G171" s="291"/>
      <c r="H171" s="291"/>
      <c r="I171" s="291"/>
    </row>
    <row r="172" spans="1:9" ht="15.95" customHeight="1">
      <c r="A172" s="340" t="s">
        <v>576</v>
      </c>
      <c r="B172" s="301">
        <f>IF(B153=0,0,'財産集計（入力シート） '!J44)</f>
        <v>0</v>
      </c>
      <c r="C172" s="301">
        <f>IF(B153=0,0,'財産集計（入力シート） '!K44)</f>
        <v>0</v>
      </c>
      <c r="D172" s="301">
        <f>IF(B153=0,0,'財産集計（入力シート） '!L44)</f>
        <v>0</v>
      </c>
      <c r="E172" s="301">
        <f>IF(B153=0,0,'財産集計（入力シート） '!M44)</f>
        <v>0</v>
      </c>
      <c r="F172" s="301">
        <f>IF(B153=0,0,'財産集計（入力シート） '!N44)</f>
        <v>0</v>
      </c>
      <c r="G172" s="301">
        <f>IF(B153=0,0,'財産集計（入力シート） '!O44)</f>
        <v>0</v>
      </c>
      <c r="H172" s="301">
        <f>IF(B153=0,0,'財産集計（入力シート） '!P44)</f>
        <v>0</v>
      </c>
      <c r="I172" s="301">
        <f>IF(B153=0,0,'財産集計（入力シート） '!Q44)</f>
        <v>0</v>
      </c>
    </row>
    <row r="173" spans="1:9" ht="15.95" customHeight="1">
      <c r="A173" s="340" t="s">
        <v>591</v>
      </c>
      <c r="B173" s="301">
        <f>IF(B153=0,0,'財産集計（入力シート） '!J42+'財産集計（入力シート） '!J43)</f>
        <v>0</v>
      </c>
      <c r="C173" s="301">
        <f>IF(B153=0,0,'財産集計（入力シート） '!K42+'財産集計（入力シート） '!K43)</f>
        <v>0</v>
      </c>
      <c r="D173" s="301">
        <f>IF(B153=0,0,'財産集計（入力シート） '!L42+'財産集計（入力シート） '!L43)</f>
        <v>0</v>
      </c>
      <c r="E173" s="301">
        <f>IF(B153=0,0,'財産集計（入力シート） '!M42+'財産集計（入力シート） '!M43)</f>
        <v>0</v>
      </c>
      <c r="F173" s="301">
        <f>IF(B153=0,0,'財産集計（入力シート） '!N42+'財産集計（入力シート） '!N43)</f>
        <v>0</v>
      </c>
      <c r="G173" s="301">
        <f>IF(B153=0,0,'財産集計（入力シート） '!O42+'財産集計（入力シート） '!O43)</f>
        <v>0</v>
      </c>
      <c r="H173" s="301">
        <f>IF(B153=0,0,'財産集計（入力シート） '!P42+'財産集計（入力シート） '!P43)</f>
        <v>0</v>
      </c>
      <c r="I173" s="301">
        <f>IF(B153=0,0,'財産集計（入力シート） '!Q42+'財産集計（入力シート） '!Q43)</f>
        <v>0</v>
      </c>
    </row>
    <row r="174" spans="1:9" ht="15.95" customHeight="1">
      <c r="A174" s="340" t="s">
        <v>592</v>
      </c>
      <c r="B174" s="205">
        <f>IF(B172-B173&lt;0,0,B172-B173)</f>
        <v>0</v>
      </c>
      <c r="C174" s="205">
        <f t="shared" ref="C174:I174" si="20">IF(C172-C173&lt;0,0,C172-C173)</f>
        <v>0</v>
      </c>
      <c r="D174" s="205">
        <f t="shared" si="20"/>
        <v>0</v>
      </c>
      <c r="E174" s="205">
        <f t="shared" si="20"/>
        <v>0</v>
      </c>
      <c r="F174" s="205">
        <f t="shared" si="20"/>
        <v>0</v>
      </c>
      <c r="G174" s="205">
        <f t="shared" si="20"/>
        <v>0</v>
      </c>
      <c r="H174" s="205">
        <f t="shared" si="20"/>
        <v>0</v>
      </c>
      <c r="I174" s="205">
        <f t="shared" si="20"/>
        <v>0</v>
      </c>
    </row>
    <row r="175" spans="1:9" ht="15.95" customHeight="1">
      <c r="A175" s="340" t="s">
        <v>593</v>
      </c>
      <c r="B175" s="301">
        <f>IF(B153=0,0,'財産集計（入力シート） '!J45+'財産集計（入力シート） '!J46)</f>
        <v>0</v>
      </c>
      <c r="C175" s="301">
        <f>IF(B153=0,0,'財産集計（入力シート） '!K45+'財産集計（入力シート） '!K46)</f>
        <v>0</v>
      </c>
      <c r="D175" s="301">
        <f>IF(B153=0,0,'財産集計（入力シート） '!L45+'財産集計（入力シート） '!L46)</f>
        <v>0</v>
      </c>
      <c r="E175" s="301">
        <f>IF(B153=0,0,'財産集計（入力シート） '!M45+'財産集計（入力シート） '!M46)</f>
        <v>0</v>
      </c>
      <c r="F175" s="301">
        <f>IF(B153=0,0,'財産集計（入力シート） '!N45+'財産集計（入力シート） '!N46)</f>
        <v>0</v>
      </c>
      <c r="G175" s="301">
        <f>IF(B153=0,0,'財産集計（入力シート） '!O45+'財産集計（入力シート） '!O46)</f>
        <v>0</v>
      </c>
      <c r="H175" s="301">
        <f>IF(B153=0,0,'財産集計（入力シート） '!P45+'財産集計（入力シート） '!P46)</f>
        <v>0</v>
      </c>
      <c r="I175" s="301">
        <f>IF(B153=0,0,'財産集計（入力シート） '!Q45+'財産集計（入力シート） '!Q46)</f>
        <v>0</v>
      </c>
    </row>
    <row r="176" spans="1:9" ht="15.95" customHeight="1">
      <c r="A176" s="340" t="s">
        <v>594</v>
      </c>
      <c r="B176" s="205">
        <f t="shared" ref="B176:I176" si="21">ROUNDDOWN(B174+B175,-3)</f>
        <v>0</v>
      </c>
      <c r="C176" s="205">
        <f t="shared" si="21"/>
        <v>0</v>
      </c>
      <c r="D176" s="205">
        <f t="shared" si="21"/>
        <v>0</v>
      </c>
      <c r="E176" s="205">
        <f t="shared" si="21"/>
        <v>0</v>
      </c>
      <c r="F176" s="205">
        <f t="shared" si="21"/>
        <v>0</v>
      </c>
      <c r="G176" s="205">
        <f t="shared" si="21"/>
        <v>0</v>
      </c>
      <c r="H176" s="205">
        <f t="shared" si="21"/>
        <v>0</v>
      </c>
      <c r="I176" s="205">
        <f t="shared" si="21"/>
        <v>0</v>
      </c>
    </row>
    <row r="177" spans="1:9" ht="15.95" customHeight="1">
      <c r="A177" s="340" t="s">
        <v>595</v>
      </c>
      <c r="B177" s="346"/>
      <c r="C177" s="346"/>
      <c r="D177" s="346"/>
      <c r="E177" s="346"/>
      <c r="F177" s="346"/>
      <c r="G177" s="346"/>
      <c r="H177" s="346"/>
      <c r="I177" s="346"/>
    </row>
    <row r="178" spans="1:9" ht="15.95" customHeight="1">
      <c r="A178" s="340" t="s">
        <v>597</v>
      </c>
      <c r="B178" s="293">
        <f>IF(B153=0,0,ROUND(B176/B158,4))</f>
        <v>0</v>
      </c>
      <c r="C178" s="293">
        <f>IF(B153=0,0,ROUND(C176/B158,4))</f>
        <v>0</v>
      </c>
      <c r="D178" s="293">
        <f>IF(B153=0,0,ROUND(D176/B158,4))</f>
        <v>0</v>
      </c>
      <c r="E178" s="293">
        <f>IF(B153=0,0,ROUND(E176/B158,4))</f>
        <v>0</v>
      </c>
      <c r="F178" s="293">
        <f>IF(B153=0,0,ROUND(F176/B158,4))</f>
        <v>0</v>
      </c>
      <c r="G178" s="293">
        <f>IF(B153=0,0,ROUND(G176/B158,4))</f>
        <v>0</v>
      </c>
      <c r="H178" s="293">
        <f>IF(B153=0,0,ROUND(H176/B158,4))</f>
        <v>0</v>
      </c>
      <c r="I178" s="293">
        <f>IF(B153=0,0,ROUND(I176/B158,4))</f>
        <v>0</v>
      </c>
    </row>
    <row r="179" spans="1:9" ht="15.95" customHeight="1">
      <c r="A179" s="340" t="s">
        <v>596</v>
      </c>
      <c r="B179" s="301">
        <f>IF(B153=0,0,ROUNDDOWN(B159*B178,0))</f>
        <v>0</v>
      </c>
      <c r="C179" s="301">
        <f>IF(B153=0,0,ROUNDDOWN(B159*C178,0))</f>
        <v>0</v>
      </c>
      <c r="D179" s="301">
        <f>IF(B153=0,0,ROUNDDOWN(B159*D178,0))</f>
        <v>0</v>
      </c>
      <c r="E179" s="301">
        <f>IF(B153=0,0,ROUNDDOWN(B159*E178,0))</f>
        <v>0</v>
      </c>
      <c r="F179" s="301">
        <f>IF(B153=0,0,ROUNDDOWN(B159*F178,0))</f>
        <v>0</v>
      </c>
      <c r="G179" s="301">
        <f>IF(B153=0,0,ROUNDDOWN(B159*G178,0))</f>
        <v>0</v>
      </c>
      <c r="H179" s="301">
        <f>IF(B153=0,0,ROUNDDOWN(B159*H178,0))</f>
        <v>0</v>
      </c>
      <c r="I179" s="301">
        <f>IF(B153=0,0,ROUNDDOWN(B159*I178,0))</f>
        <v>0</v>
      </c>
    </row>
    <row r="180" spans="1:9" ht="15.95" customHeight="1">
      <c r="A180" s="340" t="s">
        <v>598</v>
      </c>
      <c r="B180" s="346"/>
      <c r="C180" s="346"/>
      <c r="D180" s="346"/>
      <c r="E180" s="346"/>
      <c r="F180" s="346"/>
      <c r="G180" s="346"/>
      <c r="H180" s="346"/>
      <c r="I180" s="346"/>
    </row>
    <row r="181" spans="1:9" ht="15.95" customHeight="1">
      <c r="A181" s="340" t="s">
        <v>601</v>
      </c>
      <c r="B181" s="301"/>
      <c r="C181" s="301"/>
      <c r="D181" s="301"/>
      <c r="E181" s="301"/>
      <c r="F181" s="301"/>
      <c r="G181" s="301"/>
      <c r="H181" s="301"/>
      <c r="I181" s="301"/>
    </row>
    <row r="182" spans="1:9" ht="15.95" customHeight="1">
      <c r="A182" s="340" t="s">
        <v>602</v>
      </c>
      <c r="B182" s="301"/>
      <c r="C182" s="301"/>
      <c r="D182" s="301"/>
      <c r="E182" s="301"/>
      <c r="F182" s="301"/>
      <c r="G182" s="301"/>
      <c r="H182" s="301"/>
      <c r="I182" s="301"/>
    </row>
    <row r="183" spans="1:9" ht="15.95" customHeight="1">
      <c r="A183" s="340" t="s">
        <v>603</v>
      </c>
      <c r="B183" s="301">
        <f t="shared" ref="B183:I183" si="22">B179+B182</f>
        <v>0</v>
      </c>
      <c r="C183" s="301">
        <f t="shared" si="22"/>
        <v>0</v>
      </c>
      <c r="D183" s="301">
        <f t="shared" si="22"/>
        <v>0</v>
      </c>
      <c r="E183" s="301">
        <f t="shared" si="22"/>
        <v>0</v>
      </c>
      <c r="F183" s="301">
        <f t="shared" si="22"/>
        <v>0</v>
      </c>
      <c r="G183" s="301">
        <f t="shared" si="22"/>
        <v>0</v>
      </c>
      <c r="H183" s="301">
        <f t="shared" si="22"/>
        <v>0</v>
      </c>
      <c r="I183" s="301">
        <f t="shared" si="22"/>
        <v>0</v>
      </c>
    </row>
    <row r="187" spans="1:9" ht="15.95" customHeight="1">
      <c r="A187" s="282" t="s">
        <v>496</v>
      </c>
    </row>
    <row r="189" spans="1:9" ht="15.95" customHeight="1">
      <c r="A189" s="282" t="s">
        <v>178</v>
      </c>
    </row>
    <row r="190" spans="1:9" ht="15.95" customHeight="1" thickBot="1"/>
    <row r="191" spans="1:9" ht="15.95" customHeight="1">
      <c r="A191" s="348" t="s">
        <v>147</v>
      </c>
      <c r="B191" s="287" t="str">
        <f>IF('税額計算（出力シート） '!R31=0,"",'税額計算（出力シート） '!D5)</f>
        <v>小林洋子</v>
      </c>
      <c r="C191" s="287" t="str">
        <f>IF('税額計算（出力シート） '!R31=0,"",'税額計算（出力シート） '!E5)</f>
        <v>小林智子</v>
      </c>
      <c r="D191" s="287" t="str">
        <f>IF('税額計算（出力シート） '!R31=0,"",'税額計算（出力シート） '!F5)</f>
        <v>小林尊琉</v>
      </c>
      <c r="E191" s="287" t="str">
        <f>IF('税額計算（出力シート） '!R31=0,"",'税額計算（出力シート） '!G5)</f>
        <v>小林二郎</v>
      </c>
      <c r="F191" s="287" t="str">
        <f>IF('税額計算（出力シート） '!R31=0,"",'税額計算（出力シート） '!H5)</f>
        <v>佐藤英理</v>
      </c>
      <c r="G191" s="287" t="str">
        <f>IF('税額計算（出力シート） '!R31=0,"",'税額計算（出力シート） '!I5)</f>
        <v>小林　円</v>
      </c>
      <c r="H191" s="289">
        <f>IF('税額計算（出力シート） '!R31=0,"",'税額計算（出力シート） '!J5)</f>
        <v>0</v>
      </c>
    </row>
    <row r="192" spans="1:9" ht="15.95" customHeight="1">
      <c r="A192" s="259" t="s">
        <v>402</v>
      </c>
      <c r="B192" s="205">
        <f>IF('税額計算（出力シート） '!R31=0,0,'税額計算（出力シート） '!D30)</f>
        <v>135819613</v>
      </c>
      <c r="C192" s="205">
        <f>IF('税額計算（出力シート） '!R31=0,0,'税額計算（出力シート） '!E30)</f>
        <v>55352156</v>
      </c>
      <c r="D192" s="205">
        <f>IF('税額計算（出力シート） '!R31=0,0,'税額計算（出力シート） '!F30)</f>
        <v>121341380</v>
      </c>
      <c r="E192" s="205">
        <f>IF('税額計算（出力シート） '!R31=0,0,'税額計算（出力シート） '!G30)</f>
        <v>97900432</v>
      </c>
      <c r="F192" s="205">
        <f>IF('税額計算（出力シート） '!R31=0,0,'税額計算（出力シート） '!H30)</f>
        <v>25115302</v>
      </c>
      <c r="G192" s="205">
        <f>IF('税額計算（出力シート） '!R31=0,0,'税額計算（出力シート） '!I30)</f>
        <v>56928018</v>
      </c>
      <c r="H192" s="260">
        <f>IF('税額計算（出力シート） '!H5=0,0,'税額計算（出力シート） '!J30)</f>
        <v>0</v>
      </c>
    </row>
    <row r="193" spans="1:8" ht="15.95" customHeight="1">
      <c r="A193" s="259" t="s">
        <v>401</v>
      </c>
      <c r="B193" s="205"/>
      <c r="C193" s="205"/>
      <c r="D193" s="205"/>
      <c r="E193" s="205"/>
      <c r="F193" s="205"/>
      <c r="G193" s="205"/>
      <c r="H193" s="260"/>
    </row>
    <row r="194" spans="1:8" ht="15.95" customHeight="1">
      <c r="A194" s="259" t="s">
        <v>403</v>
      </c>
      <c r="B194" s="205"/>
      <c r="C194" s="205"/>
      <c r="D194" s="205"/>
      <c r="E194" s="205"/>
      <c r="F194" s="205"/>
      <c r="G194" s="205"/>
      <c r="H194" s="260"/>
    </row>
    <row r="195" spans="1:8" ht="15.95" customHeight="1">
      <c r="A195" s="259" t="s">
        <v>404</v>
      </c>
      <c r="B195" s="205">
        <f t="shared" ref="B195:H195" si="23">IF(B194=0,0,ROUNDDOWN(B192*B193/B194,0))</f>
        <v>0</v>
      </c>
      <c r="C195" s="205">
        <f t="shared" si="23"/>
        <v>0</v>
      </c>
      <c r="D195" s="205">
        <f t="shared" si="23"/>
        <v>0</v>
      </c>
      <c r="E195" s="205">
        <f t="shared" si="23"/>
        <v>0</v>
      </c>
      <c r="F195" s="205">
        <f t="shared" si="23"/>
        <v>0</v>
      </c>
      <c r="G195" s="205">
        <f t="shared" si="23"/>
        <v>0</v>
      </c>
      <c r="H195" s="260">
        <f t="shared" si="23"/>
        <v>0</v>
      </c>
    </row>
    <row r="196" spans="1:8" ht="15.95" customHeight="1" thickBot="1">
      <c r="A196" s="261" t="s">
        <v>400</v>
      </c>
      <c r="B196" s="294">
        <f>'税額計算（出力シート） '!D31</f>
        <v>0</v>
      </c>
      <c r="C196" s="294">
        <f>'税額計算（出力シート） '!E31</f>
        <v>0</v>
      </c>
      <c r="D196" s="294">
        <f>'税額計算（出力シート） '!F31</f>
        <v>0</v>
      </c>
      <c r="E196" s="294">
        <f>'税額計算（出力シート） '!G31</f>
        <v>0</v>
      </c>
      <c r="F196" s="294">
        <f>'税額計算（出力シート） '!H31</f>
        <v>5023060</v>
      </c>
      <c r="G196" s="294">
        <f>'税額計算（出力シート） '!I31</f>
        <v>0</v>
      </c>
      <c r="H196" s="302">
        <f>'税額計算（出力シート） '!J31</f>
        <v>0</v>
      </c>
    </row>
    <row r="198" spans="1:8" ht="15.95" customHeight="1">
      <c r="A198" s="282" t="s">
        <v>179</v>
      </c>
    </row>
    <row r="199" spans="1:8" ht="15.95" customHeight="1" thickBot="1"/>
    <row r="200" spans="1:8" ht="15.95" customHeight="1" thickBot="1">
      <c r="A200" s="349" t="s">
        <v>147</v>
      </c>
      <c r="B200" s="350" t="str">
        <f>IF(('財産集計（入力シート） '!R45+'財産集計（入力シート） '!R46)=0,"",'税額計算（出力シート） '!D5)</f>
        <v>小林洋子</v>
      </c>
      <c r="C200" s="351" t="str">
        <f>IF(('財産集計（入力シート） '!R45+'財産集計（入力シート） '!R46)=0,"",'税額計算（出力シート） '!E5)</f>
        <v>小林智子</v>
      </c>
      <c r="D200" s="352" t="str">
        <f>IF(('財産集計（入力シート） '!R45+'財産集計（入力シート） '!R46)=0,"",'税額計算（出力シート） '!F5)</f>
        <v>小林尊琉</v>
      </c>
      <c r="E200" s="351" t="str">
        <f>IF(('財産集計（入力シート） '!R45+'財産集計（入力シート） '!R46)=0,"",'税額計算（出力シート） '!G5)</f>
        <v>小林二郎</v>
      </c>
      <c r="F200" s="351" t="str">
        <f>IF(('財産集計（入力シート） '!R45+'財産集計（入力シート） '!R46)=0,"",'税額計算（出力シート） '!H5)</f>
        <v>佐藤英理</v>
      </c>
      <c r="G200" s="351" t="str">
        <f>IF(('財産集計（入力シート） '!R45+'財産集計（入力シート） '!R46)=0,"",'税額計算（出力シート） '!I5)</f>
        <v>小林　円</v>
      </c>
      <c r="H200" s="351">
        <f>IF(('財産集計（入力シート） '!R45+'財産集計（入力シート） '!R46)=0,"",'税額計算（出力シート） '!J5)</f>
        <v>0</v>
      </c>
    </row>
    <row r="201" spans="1:8" ht="15.95" customHeight="1">
      <c r="A201" s="353" t="s">
        <v>405</v>
      </c>
      <c r="B201" s="506"/>
      <c r="C201" s="507"/>
      <c r="D201" s="507"/>
      <c r="E201" s="507"/>
      <c r="F201" s="507"/>
      <c r="G201" s="507"/>
      <c r="H201" s="507"/>
    </row>
    <row r="202" spans="1:8" ht="15.95" customHeight="1">
      <c r="A202" s="306" t="s">
        <v>406</v>
      </c>
      <c r="B202" s="508"/>
      <c r="C202" s="509"/>
      <c r="D202" s="509"/>
      <c r="E202" s="509"/>
      <c r="F202" s="509"/>
      <c r="G202" s="509"/>
      <c r="H202" s="509"/>
    </row>
    <row r="203" spans="1:8" ht="15.95" customHeight="1">
      <c r="A203" s="306" t="s">
        <v>407</v>
      </c>
      <c r="B203" s="508"/>
      <c r="C203" s="509"/>
      <c r="D203" s="509"/>
      <c r="E203" s="509"/>
      <c r="F203" s="509"/>
      <c r="G203" s="509"/>
      <c r="H203" s="509"/>
    </row>
    <row r="204" spans="1:8" ht="15.95" customHeight="1" thickBot="1">
      <c r="A204" s="354" t="s">
        <v>408</v>
      </c>
      <c r="B204" s="510"/>
      <c r="C204" s="511"/>
      <c r="D204" s="511"/>
      <c r="E204" s="511"/>
      <c r="F204" s="511"/>
      <c r="G204" s="511"/>
      <c r="H204" s="511"/>
    </row>
    <row r="205" spans="1:8" ht="15.95" customHeight="1">
      <c r="A205" s="353" t="s">
        <v>409</v>
      </c>
      <c r="B205" s="506"/>
      <c r="C205" s="512"/>
      <c r="D205" s="512"/>
      <c r="E205" s="512"/>
      <c r="F205" s="512"/>
      <c r="G205" s="512"/>
      <c r="H205" s="512"/>
    </row>
    <row r="206" spans="1:8" ht="15.95" customHeight="1">
      <c r="A206" s="306" t="s">
        <v>410</v>
      </c>
      <c r="B206" s="508"/>
      <c r="C206" s="509"/>
      <c r="D206" s="509"/>
      <c r="E206" s="509"/>
      <c r="F206" s="509"/>
      <c r="G206" s="509"/>
      <c r="H206" s="509"/>
    </row>
    <row r="207" spans="1:8" ht="15.95" customHeight="1">
      <c r="A207" s="306" t="s">
        <v>412</v>
      </c>
      <c r="B207" s="508"/>
      <c r="C207" s="509"/>
      <c r="D207" s="509"/>
      <c r="E207" s="509"/>
      <c r="F207" s="509"/>
      <c r="G207" s="509"/>
      <c r="H207" s="509"/>
    </row>
    <row r="208" spans="1:8" ht="15.95" customHeight="1" thickBot="1">
      <c r="A208" s="354" t="s">
        <v>415</v>
      </c>
      <c r="B208" s="510"/>
      <c r="C208" s="511"/>
      <c r="D208" s="511"/>
      <c r="E208" s="511"/>
      <c r="F208" s="511"/>
      <c r="G208" s="511"/>
      <c r="H208" s="511"/>
    </row>
    <row r="209" spans="1:8" ht="15.95" customHeight="1">
      <c r="A209" s="353" t="s">
        <v>411</v>
      </c>
      <c r="B209" s="506"/>
      <c r="C209" s="507"/>
      <c r="D209" s="507"/>
      <c r="E209" s="507"/>
      <c r="F209" s="507"/>
      <c r="G209" s="507"/>
      <c r="H209" s="507"/>
    </row>
    <row r="210" spans="1:8" ht="15.95" customHeight="1">
      <c r="A210" s="306" t="s">
        <v>413</v>
      </c>
      <c r="B210" s="508"/>
      <c r="C210" s="509"/>
      <c r="D210" s="509"/>
      <c r="E210" s="509"/>
      <c r="F210" s="509"/>
      <c r="G210" s="509"/>
      <c r="H210" s="509"/>
    </row>
    <row r="211" spans="1:8" ht="15.95" customHeight="1">
      <c r="A211" s="306" t="s">
        <v>414</v>
      </c>
      <c r="B211" s="508"/>
      <c r="C211" s="509"/>
      <c r="D211" s="509"/>
      <c r="E211" s="509"/>
      <c r="F211" s="509"/>
      <c r="G211" s="509"/>
      <c r="H211" s="509"/>
    </row>
    <row r="212" spans="1:8" ht="15.95" customHeight="1" thickBot="1">
      <c r="A212" s="354" t="s">
        <v>416</v>
      </c>
      <c r="B212" s="510"/>
      <c r="C212" s="511"/>
      <c r="D212" s="511"/>
      <c r="E212" s="511"/>
      <c r="F212" s="511"/>
      <c r="G212" s="511"/>
      <c r="H212" s="511"/>
    </row>
    <row r="213" spans="1:8" ht="15.95" customHeight="1" thickBot="1">
      <c r="A213" s="304" t="s">
        <v>434</v>
      </c>
      <c r="B213" s="355">
        <f>IF(('財産集計（入力シート） '!R45+'財産集計（入力シート） '!R46)=0,0,'税額計算（出力シート） '!D32)</f>
        <v>6930000</v>
      </c>
      <c r="C213" s="356">
        <f>IF(('財産集計（入力シート） '!R45+'財産集計（入力シート） '!R46)=0,0,'税額計算（出力シート） '!E32)</f>
        <v>0</v>
      </c>
      <c r="D213" s="356">
        <f>IF(('財産集計（入力シート） '!R45+'財産集計（入力シート） '!R46)=0,0,'税額計算（出力シート） '!F32)</f>
        <v>0</v>
      </c>
      <c r="E213" s="356">
        <f>IF(('財産集計（入力シート） '!R45+'財産集計（入力シート） '!R46)=0,0,'税額計算（出力シート） '!G32)</f>
        <v>0</v>
      </c>
      <c r="F213" s="356">
        <f>IF(('財産集計（入力シート） '!R45+'財産集計（入力シート） '!R46)=0,0,'税額計算（出力シート） '!H32)</f>
        <v>0</v>
      </c>
      <c r="G213" s="356">
        <f>IF(('財産集計（入力シート） '!R45+'財産集計（入力シート） '!R46)=0,0,'税額計算（出力シート） '!I32)</f>
        <v>0</v>
      </c>
      <c r="H213" s="356">
        <f>IF(('財産集計（入力シート） '!R45+'財産集計（入力シート） '!R46)=0,0,'税額計算（出力シート） '!J32)</f>
        <v>0</v>
      </c>
    </row>
    <row r="224" spans="1:8" ht="15.95" customHeight="1">
      <c r="A224" s="282" t="s">
        <v>180</v>
      </c>
    </row>
    <row r="225" spans="1:10" ht="15.95" customHeight="1">
      <c r="A225" s="819" t="s">
        <v>497</v>
      </c>
      <c r="B225" s="819"/>
      <c r="C225" s="819"/>
    </row>
    <row r="227" spans="1:10" ht="15.95" customHeight="1">
      <c r="A227" s="282" t="s">
        <v>181</v>
      </c>
    </row>
    <row r="229" spans="1:10" ht="15.95" customHeight="1" thickBot="1">
      <c r="A229" s="282" t="s">
        <v>182</v>
      </c>
    </row>
    <row r="230" spans="1:10" ht="15.95" customHeight="1">
      <c r="A230" s="879">
        <f>IF('税額計算（出力シート） '!R6=0,0,'税額計算（出力シート） '!R6/1000)</f>
        <v>1449906</v>
      </c>
      <c r="B230" s="881" t="s">
        <v>183</v>
      </c>
      <c r="C230" s="812">
        <f>IF('税額計算（出力シート） '!R6=0,0,IF('税額計算（出力シート） '!E9&gt;0,1/2,IF('税額計算（出力シート） '!F9&gt;0,2/3,IF('税額計算（出力シート） '!G9&gt;0,3/4,0))))</f>
        <v>0.5</v>
      </c>
      <c r="D230" s="881" t="s">
        <v>315</v>
      </c>
      <c r="E230" s="882">
        <f>IF('税額計算（出力シート） '!R6=0,0,A230*1000*C230)</f>
        <v>724953000</v>
      </c>
      <c r="F230" s="856" t="s">
        <v>316</v>
      </c>
      <c r="G230" s="864" t="s">
        <v>185</v>
      </c>
      <c r="H230" s="866">
        <f>IF(E230&lt;160000000,160000000,E230)</f>
        <v>724953000</v>
      </c>
      <c r="I230" s="856" t="s">
        <v>316</v>
      </c>
      <c r="J230" s="295"/>
    </row>
    <row r="231" spans="1:10" ht="15.95" customHeight="1" thickBot="1">
      <c r="A231" s="880"/>
      <c r="B231" s="881"/>
      <c r="C231" s="813"/>
      <c r="D231" s="881"/>
      <c r="E231" s="883"/>
      <c r="F231" s="856"/>
      <c r="G231" s="865"/>
      <c r="H231" s="867"/>
      <c r="I231" s="856"/>
      <c r="J231" s="295"/>
    </row>
    <row r="232" spans="1:10" ht="15.95" customHeight="1" thickBot="1"/>
    <row r="233" spans="1:10" ht="15.95" customHeight="1">
      <c r="A233" s="598" t="s">
        <v>147</v>
      </c>
      <c r="B233" s="618"/>
      <c r="C233" s="357" t="s">
        <v>147</v>
      </c>
      <c r="D233" s="618"/>
      <c r="E233" s="303"/>
      <c r="F233" s="303"/>
    </row>
    <row r="234" spans="1:10" ht="15.95" customHeight="1">
      <c r="A234" s="259" t="s">
        <v>656</v>
      </c>
      <c r="B234" s="619">
        <f>('財産集計（入力シート） '!D40-('財産集計（入力シート） '!D34+'財産集計（入力シート） '!D35))</f>
        <v>397765576</v>
      </c>
      <c r="C234" s="340" t="s">
        <v>661</v>
      </c>
      <c r="D234" s="388">
        <f>IF((B234-B237+B238)&lt;B238,ROUNDDOWN(B238,-3),ROUNDDOWN((B234-B237+B238),-3))</f>
        <v>399804000</v>
      </c>
      <c r="E234" s="303"/>
      <c r="F234" s="303"/>
    </row>
    <row r="235" spans="1:10" ht="15.95" customHeight="1">
      <c r="A235" s="259" t="s">
        <v>657</v>
      </c>
      <c r="B235" s="619">
        <f>'財産集計（入力シート） '!D42+'財産集計（入力シート） '!D43</f>
        <v>27960952</v>
      </c>
      <c r="C235" s="340" t="s">
        <v>662</v>
      </c>
      <c r="D235" s="388">
        <f>'税額計算（出力シート） '!R14</f>
        <v>492456900</v>
      </c>
      <c r="E235" s="303"/>
      <c r="F235" s="303"/>
    </row>
    <row r="236" spans="1:10" ht="15.95" customHeight="1">
      <c r="A236" s="259" t="s">
        <v>658</v>
      </c>
      <c r="B236" s="619">
        <f>'財産集計（入力シート） '!D34+'財産集計（入力シート） '!D35</f>
        <v>0</v>
      </c>
      <c r="C236" s="340" t="s">
        <v>663</v>
      </c>
      <c r="D236" s="460">
        <f>MIN(H230,D234)</f>
        <v>399804000</v>
      </c>
      <c r="E236" s="303"/>
      <c r="F236" s="303"/>
    </row>
    <row r="237" spans="1:10" ht="15.95" customHeight="1">
      <c r="A237" s="259" t="s">
        <v>659</v>
      </c>
      <c r="B237" s="620">
        <f>IF(B235-B236&lt;0,0,B235-B236)</f>
        <v>27960952</v>
      </c>
      <c r="C237" s="340" t="s">
        <v>664</v>
      </c>
      <c r="D237" s="460">
        <f>'税額計算（出力シート） '!R6</f>
        <v>1449906000</v>
      </c>
      <c r="E237" s="303"/>
      <c r="F237" s="303"/>
    </row>
    <row r="238" spans="1:10" ht="15.95" customHeight="1" thickBot="1">
      <c r="A238" s="261" t="s">
        <v>660</v>
      </c>
      <c r="B238" s="606">
        <f>'財産集計（入力シート） '!D45+'財産集計（入力シート） '!D46</f>
        <v>30000000</v>
      </c>
      <c r="C238" s="359" t="s">
        <v>665</v>
      </c>
      <c r="D238" s="463">
        <f>IF(D235=0,0,ROUNDDOWN(D235*D236/D237,0))</f>
        <v>135792415</v>
      </c>
      <c r="E238" s="303"/>
      <c r="F238" s="303"/>
    </row>
    <row r="239" spans="1:10" ht="15.95" customHeight="1">
      <c r="A239" s="303"/>
      <c r="B239" s="303"/>
      <c r="C239" s="303"/>
      <c r="D239" s="303"/>
      <c r="E239" s="303"/>
      <c r="F239" s="303"/>
    </row>
    <row r="240" spans="1:10" ht="15.95" customHeight="1" thickBot="1">
      <c r="A240" s="303" t="s">
        <v>666</v>
      </c>
      <c r="B240" s="303"/>
      <c r="C240" s="303" t="s">
        <v>667</v>
      </c>
      <c r="D240" s="303"/>
      <c r="E240" s="303"/>
      <c r="F240" s="303"/>
    </row>
    <row r="241" spans="1:8" ht="15.95" customHeight="1" thickBot="1">
      <c r="A241" s="621">
        <f>'税額計算（出力シート） '!D30</f>
        <v>135819613</v>
      </c>
      <c r="B241" s="480" t="s">
        <v>177</v>
      </c>
      <c r="C241" s="622">
        <f>'税額計算（出力シート） '!D32</f>
        <v>6930000</v>
      </c>
      <c r="D241" s="303"/>
      <c r="E241" s="598" t="s">
        <v>502</v>
      </c>
      <c r="F241" s="623">
        <f>A241-C241</f>
        <v>128889613</v>
      </c>
    </row>
    <row r="242" spans="1:8" ht="15.95" customHeight="1" thickBot="1">
      <c r="A242" s="303"/>
      <c r="B242" s="303"/>
      <c r="C242" s="303"/>
      <c r="D242" s="303"/>
      <c r="E242" s="261" t="s">
        <v>417</v>
      </c>
      <c r="F242" s="463">
        <f>IF(D238&gt;=F241,F241,D238)</f>
        <v>128889613</v>
      </c>
    </row>
    <row r="245" spans="1:8" ht="15.95" customHeight="1">
      <c r="A245" s="282" t="s">
        <v>187</v>
      </c>
    </row>
    <row r="247" spans="1:8" ht="15.95" customHeight="1">
      <c r="A247" s="282" t="s">
        <v>182</v>
      </c>
    </row>
    <row r="248" spans="1:8" ht="15.95" customHeight="1">
      <c r="A248" s="795"/>
      <c r="B248" s="811" t="s">
        <v>183</v>
      </c>
      <c r="C248" s="362"/>
      <c r="D248" s="811" t="s">
        <v>184</v>
      </c>
      <c r="E248" s="795"/>
      <c r="G248" s="795" t="s">
        <v>188</v>
      </c>
      <c r="H248" s="795"/>
    </row>
    <row r="249" spans="1:8" ht="15.95" customHeight="1">
      <c r="A249" s="796"/>
      <c r="B249" s="811"/>
      <c r="C249" s="362"/>
      <c r="D249" s="811"/>
      <c r="E249" s="796"/>
      <c r="G249" s="855"/>
      <c r="H249" s="855"/>
    </row>
    <row r="251" spans="1:8" ht="15.95" customHeight="1">
      <c r="A251" s="301" t="s">
        <v>147</v>
      </c>
      <c r="B251" s="338"/>
      <c r="C251" s="301" t="s">
        <v>147</v>
      </c>
      <c r="D251" s="338"/>
    </row>
    <row r="252" spans="1:8" ht="15.95" customHeight="1">
      <c r="A252" s="301">
        <v>1</v>
      </c>
      <c r="B252" s="301"/>
      <c r="C252" s="301">
        <v>6</v>
      </c>
      <c r="D252" s="301"/>
    </row>
    <row r="253" spans="1:8" ht="15.95" customHeight="1">
      <c r="A253" s="301">
        <v>2</v>
      </c>
      <c r="B253" s="301"/>
      <c r="C253" s="301">
        <v>7</v>
      </c>
      <c r="D253" s="301"/>
    </row>
    <row r="254" spans="1:8" ht="15.95" customHeight="1">
      <c r="A254" s="301">
        <v>3</v>
      </c>
      <c r="B254" s="301"/>
      <c r="C254" s="301">
        <v>8</v>
      </c>
      <c r="D254" s="301"/>
    </row>
    <row r="255" spans="1:8" ht="15.95" customHeight="1">
      <c r="A255" s="301">
        <v>4</v>
      </c>
      <c r="B255" s="301"/>
      <c r="C255" s="301">
        <v>9</v>
      </c>
      <c r="D255" s="301"/>
    </row>
    <row r="256" spans="1:8" ht="15.95" customHeight="1">
      <c r="A256" s="301">
        <v>5</v>
      </c>
      <c r="B256" s="301"/>
      <c r="C256" s="301">
        <v>10</v>
      </c>
      <c r="D256" s="301"/>
    </row>
    <row r="258" spans="1:7" ht="15.95" customHeight="1">
      <c r="A258" s="282" t="s">
        <v>186</v>
      </c>
    </row>
    <row r="259" spans="1:7" ht="15.95" customHeight="1">
      <c r="A259" s="301"/>
      <c r="B259" s="361" t="s">
        <v>177</v>
      </c>
      <c r="C259" s="301"/>
      <c r="E259" s="362" t="s">
        <v>189</v>
      </c>
      <c r="F259" s="362"/>
    </row>
    <row r="260" spans="1:7" ht="15.95" customHeight="1">
      <c r="E260" s="362" t="s">
        <v>190</v>
      </c>
      <c r="F260" s="363"/>
    </row>
    <row r="261" spans="1:7" ht="15.95" customHeight="1">
      <c r="A261" s="282" t="s">
        <v>191</v>
      </c>
    </row>
    <row r="263" spans="1:7" ht="15.95" customHeight="1">
      <c r="A263" s="282" t="s">
        <v>192</v>
      </c>
    </row>
    <row r="264" spans="1:7" ht="15.95" customHeight="1" thickBot="1"/>
    <row r="265" spans="1:7" ht="15.95" customHeight="1">
      <c r="A265" s="364" t="s">
        <v>418</v>
      </c>
      <c r="B265" s="365" t="str">
        <f>IF('税額計算（出力シート） '!I13=0,"",'税額計算（出力シート） '!F5)</f>
        <v>小林尊琉</v>
      </c>
      <c r="C265" s="513"/>
      <c r="D265" s="513"/>
      <c r="E265" s="513"/>
      <c r="F265" s="513"/>
      <c r="G265" s="289" t="s">
        <v>193</v>
      </c>
    </row>
    <row r="266" spans="1:7" ht="15.95" customHeight="1">
      <c r="A266" s="259" t="s">
        <v>420</v>
      </c>
      <c r="B266" s="345">
        <f>IF('税額計算（出力シート） '!I13=0,0,'財産集計（入力シート） '!P64)</f>
        <v>17</v>
      </c>
      <c r="C266" s="502"/>
      <c r="D266" s="502"/>
      <c r="E266" s="502"/>
      <c r="F266" s="502"/>
      <c r="G266" s="366"/>
    </row>
    <row r="267" spans="1:7" ht="15.95" customHeight="1">
      <c r="A267" s="259" t="s">
        <v>419</v>
      </c>
      <c r="B267" s="345">
        <f>IF('税額計算（出力シート） '!I13=0,0,'税額計算（出力シート） '!F34)</f>
        <v>180000</v>
      </c>
      <c r="C267" s="502"/>
      <c r="D267" s="502"/>
      <c r="E267" s="502"/>
      <c r="F267" s="502"/>
      <c r="G267" s="358">
        <f>SUM(B267:F267)</f>
        <v>180000</v>
      </c>
    </row>
    <row r="268" spans="1:7" ht="15.95" customHeight="1">
      <c r="A268" s="259" t="s">
        <v>421</v>
      </c>
      <c r="B268" s="205">
        <f>IF('税額計算（出力シート） '!I13=0,0,'税額計算（出力シート） '!F28)</f>
        <v>121341380</v>
      </c>
      <c r="C268" s="502"/>
      <c r="D268" s="502"/>
      <c r="E268" s="502"/>
      <c r="F268" s="502"/>
      <c r="G268" s="358">
        <f>SUM(B268:F268)</f>
        <v>121341380</v>
      </c>
    </row>
    <row r="269" spans="1:7" ht="15.95" customHeight="1">
      <c r="A269" s="367" t="s">
        <v>422</v>
      </c>
      <c r="B269" s="205">
        <f>IF('税額計算（出力シート） '!I13=0,0,IF(B267&lt;B268,0,B267-B268))</f>
        <v>0</v>
      </c>
      <c r="C269" s="502"/>
      <c r="D269" s="502"/>
      <c r="E269" s="502"/>
      <c r="F269" s="502"/>
      <c r="G269" s="358">
        <f>SUM(B269:F269)</f>
        <v>0</v>
      </c>
    </row>
    <row r="270" spans="1:7" ht="15.95" customHeight="1">
      <c r="A270" s="368" t="s">
        <v>317</v>
      </c>
      <c r="B270" s="369">
        <f>IF('税額計算（出力シート） '!I13=0,"",IF(B272=0,0,IF(B272&gt;0,'税額計算（出力シート） '!E5)))</f>
        <v>0</v>
      </c>
      <c r="C270" s="502"/>
      <c r="D270" s="502"/>
      <c r="E270" s="502"/>
      <c r="F270" s="502"/>
      <c r="G270" s="366"/>
    </row>
    <row r="271" spans="1:7" ht="15.95" customHeight="1">
      <c r="A271" s="259" t="s">
        <v>423</v>
      </c>
      <c r="B271" s="370">
        <f>IF('税額計算（出力シート） '!I13=0,0,IF(B272=0,0,IF(B272&gt;0,'税額計算（出力シート） '!E30)))</f>
        <v>0</v>
      </c>
      <c r="C271" s="502"/>
      <c r="D271" s="502"/>
      <c r="E271" s="502"/>
      <c r="F271" s="502"/>
      <c r="G271" s="358">
        <f>SUM(B271:F271)</f>
        <v>0</v>
      </c>
    </row>
    <row r="272" spans="1:7" ht="15.95" customHeight="1" thickBot="1">
      <c r="A272" s="261" t="s">
        <v>424</v>
      </c>
      <c r="B272" s="294">
        <f>IF('税額計算（出力シート） '!I13=0,0,'税額計算（出力シート） '!E34)</f>
        <v>0</v>
      </c>
      <c r="C272" s="514"/>
      <c r="D272" s="514"/>
      <c r="E272" s="514"/>
      <c r="F272" s="514"/>
      <c r="G272" s="372">
        <f>SUM(B272:F272)</f>
        <v>0</v>
      </c>
    </row>
    <row r="274" spans="1:7" ht="15.95" customHeight="1">
      <c r="A274" s="282" t="s">
        <v>194</v>
      </c>
    </row>
    <row r="275" spans="1:7" ht="15.95" customHeight="1" thickBot="1"/>
    <row r="276" spans="1:7" ht="15.95" customHeight="1">
      <c r="A276" s="373" t="s">
        <v>489</v>
      </c>
      <c r="B276" s="365" t="str">
        <f>IF('税額計算（出力シート） '!G18+'税額計算（出力シート） '!I18=0,"",IF('税額計算（出力シート） '!M16&gt;0,"特別障害","普通障害"))</f>
        <v>特別障害</v>
      </c>
      <c r="C276" s="515"/>
      <c r="D276" s="515"/>
      <c r="E276" s="515"/>
      <c r="F276" s="515"/>
      <c r="G276" s="374"/>
    </row>
    <row r="277" spans="1:7" ht="15.95" customHeight="1">
      <c r="A277" s="375" t="s">
        <v>425</v>
      </c>
      <c r="B277" s="338" t="str">
        <f>IF('税額計算（出力シート） '!G18+'税額計算（出力シート） '!I18=0,"",'税額計算（出力シート） '!G5)</f>
        <v>小林二郎</v>
      </c>
      <c r="C277" s="516"/>
      <c r="D277" s="516"/>
      <c r="E277" s="516"/>
      <c r="F277" s="516"/>
      <c r="G277" s="376" t="s">
        <v>193</v>
      </c>
    </row>
    <row r="278" spans="1:7" ht="15.95" customHeight="1">
      <c r="A278" s="259" t="s">
        <v>426</v>
      </c>
      <c r="B278" s="345">
        <f>IF('税額計算（出力シート） '!G18+'税額計算（出力シート） '!I18=0,0,IF('税額計算（出力シート） '!M16&gt;0,'税額計算（出力シート） '!M16,'税額計算（出力シート） '!M15))</f>
        <v>26</v>
      </c>
      <c r="C278" s="517"/>
      <c r="D278" s="517"/>
      <c r="E278" s="517"/>
      <c r="F278" s="517"/>
      <c r="G278" s="366"/>
    </row>
    <row r="279" spans="1:7" ht="15.95" customHeight="1">
      <c r="A279" s="259" t="s">
        <v>427</v>
      </c>
      <c r="B279" s="205">
        <f>IF('税額計算（出力シート） '!G18+'税額計算（出力シート） '!I18=0,0,'税額計算（出力シート） '!G35)</f>
        <v>5280000</v>
      </c>
      <c r="C279" s="517"/>
      <c r="D279" s="517"/>
      <c r="E279" s="517"/>
      <c r="F279" s="517"/>
      <c r="G279" s="358">
        <f t="shared" ref="G279:G284" si="24">SUM(B279:F279)</f>
        <v>5280000</v>
      </c>
    </row>
    <row r="280" spans="1:7" ht="15.95" customHeight="1">
      <c r="A280" s="259" t="s">
        <v>428</v>
      </c>
      <c r="B280" s="205">
        <f>IF('税額計算（出力シート） '!G18+'税額計算（出力シート） '!I18=0,0,'税額計算（出力シート） '!G28)</f>
        <v>97900432</v>
      </c>
      <c r="C280" s="517"/>
      <c r="D280" s="517"/>
      <c r="E280" s="517"/>
      <c r="F280" s="517"/>
      <c r="G280" s="358">
        <f t="shared" si="24"/>
        <v>97900432</v>
      </c>
    </row>
    <row r="281" spans="1:7" ht="15.95" customHeight="1">
      <c r="A281" s="259" t="s">
        <v>429</v>
      </c>
      <c r="B281" s="205">
        <f>IF('税額計算（出力シート） '!G18+'税額計算（出力シート） '!I18=0,0,IF(B279&lt;B280,0,B279-B280))</f>
        <v>0</v>
      </c>
      <c r="C281" s="517"/>
      <c r="D281" s="517"/>
      <c r="E281" s="517"/>
      <c r="F281" s="517"/>
      <c r="G281" s="358">
        <f t="shared" si="24"/>
        <v>0</v>
      </c>
    </row>
    <row r="282" spans="1:7" ht="15.95" customHeight="1">
      <c r="A282" s="368" t="s">
        <v>317</v>
      </c>
      <c r="B282" s="369">
        <f>IF('税額計算（出力シート） '!G18+'税額計算（出力シート） '!I18=0,"",IF(B284=0,0,IF(B284&gt;0,'税額計算（出力シート） '!E5)))</f>
        <v>0</v>
      </c>
      <c r="C282" s="518"/>
      <c r="D282" s="518"/>
      <c r="E282" s="518"/>
      <c r="F282" s="518"/>
      <c r="G282" s="366"/>
    </row>
    <row r="283" spans="1:7" ht="15.95" customHeight="1">
      <c r="A283" s="259" t="s">
        <v>430</v>
      </c>
      <c r="B283" s="205">
        <f>IF('税額計算（出力シート） '!G18+'税額計算（出力シート） '!I18=0,0,IF(B284=0,0,IF(B284&gt;0,'税額計算（出力シート） '!E30)))</f>
        <v>0</v>
      </c>
      <c r="C283" s="517"/>
      <c r="D283" s="517"/>
      <c r="E283" s="517"/>
      <c r="F283" s="517"/>
      <c r="G283" s="358">
        <f t="shared" si="24"/>
        <v>0</v>
      </c>
    </row>
    <row r="284" spans="1:7" ht="15.95" customHeight="1" thickBot="1">
      <c r="A284" s="261" t="s">
        <v>431</v>
      </c>
      <c r="B284" s="294">
        <f>IF('税額計算（出力シート） '!G18+'税額計算（出力シート） '!I18=0,0,'税額計算（出力シート） '!E35)</f>
        <v>0</v>
      </c>
      <c r="C284" s="519"/>
      <c r="D284" s="519"/>
      <c r="E284" s="519"/>
      <c r="F284" s="519"/>
      <c r="G284" s="372">
        <f t="shared" si="24"/>
        <v>0</v>
      </c>
    </row>
    <row r="296" spans="1:9" ht="15.95" customHeight="1">
      <c r="A296" s="859" t="s">
        <v>328</v>
      </c>
      <c r="B296" s="859"/>
      <c r="C296" s="859"/>
      <c r="D296" s="859"/>
      <c r="E296" s="859"/>
      <c r="F296" s="859"/>
      <c r="G296" s="859"/>
    </row>
    <row r="297" spans="1:9" ht="15.95" customHeight="1">
      <c r="A297" s="859"/>
      <c r="B297" s="859"/>
      <c r="C297" s="859"/>
      <c r="D297" s="859"/>
      <c r="E297" s="859"/>
      <c r="F297" s="859"/>
      <c r="G297" s="859"/>
    </row>
    <row r="298" spans="1:9" ht="15.95" customHeight="1">
      <c r="A298" s="282" t="s">
        <v>195</v>
      </c>
    </row>
    <row r="300" spans="1:9" ht="15.95" customHeight="1">
      <c r="A300" s="282" t="s">
        <v>432</v>
      </c>
    </row>
    <row r="301" spans="1:9" ht="15.95" customHeight="1" thickBot="1">
      <c r="D301" s="377"/>
    </row>
    <row r="302" spans="1:9" ht="15.95" customHeight="1">
      <c r="A302" s="348" t="s">
        <v>147</v>
      </c>
      <c r="B302" s="378"/>
      <c r="C302" s="809">
        <f>B308</f>
        <v>20000000</v>
      </c>
      <c r="D302" s="811" t="s">
        <v>196</v>
      </c>
      <c r="E302" s="379">
        <f>B310</f>
        <v>1419908959</v>
      </c>
      <c r="F302" s="860" t="s">
        <v>398</v>
      </c>
      <c r="G302" s="381">
        <f>B306</f>
        <v>3</v>
      </c>
      <c r="H302" s="860" t="s">
        <v>184</v>
      </c>
      <c r="I302" s="353" t="s">
        <v>393</v>
      </c>
    </row>
    <row r="303" spans="1:9" ht="15.95" customHeight="1" thickBot="1">
      <c r="A303" s="259" t="s">
        <v>389</v>
      </c>
      <c r="B303" s="337" t="str">
        <f>IF('財産集計（入力シート） '!P3=0,"",'財産集計（入力シート） '!P3)</f>
        <v/>
      </c>
      <c r="C303" s="810"/>
      <c r="D303" s="811"/>
      <c r="E303" s="382">
        <f>B309</f>
        <v>180000000</v>
      </c>
      <c r="F303" s="860"/>
      <c r="G303" s="383">
        <v>10</v>
      </c>
      <c r="H303" s="860"/>
      <c r="I303" s="384">
        <f>IF('財産集計（入力シート） '!P75=0,0,IF(E302/E303&gt;1,C302*G302/G303,C302*E302/E303*G302/G303))</f>
        <v>6000000</v>
      </c>
    </row>
    <row r="304" spans="1:9" ht="15.95" customHeight="1">
      <c r="A304" s="259" t="s">
        <v>390</v>
      </c>
      <c r="B304" s="385" t="str">
        <f>IF('財産集計（入力シート） '!M3=0,"",'財産集計（入力シート） '!M3)</f>
        <v>平成22. 3. 1</v>
      </c>
      <c r="E304" s="386" t="s">
        <v>399</v>
      </c>
    </row>
    <row r="305" spans="1:6" ht="15.95" customHeight="1">
      <c r="A305" s="259" t="s">
        <v>391</v>
      </c>
      <c r="B305" s="387">
        <f>IF('税額計算（出力シート） '!K26=0,0,'税額計算（出力シート） '!K26)</f>
        <v>7</v>
      </c>
    </row>
    <row r="306" spans="1:6" ht="15.95" customHeight="1">
      <c r="A306" s="375" t="s">
        <v>392</v>
      </c>
      <c r="B306" s="387">
        <f>10-B305</f>
        <v>3</v>
      </c>
    </row>
    <row r="307" spans="1:6" ht="15.95" customHeight="1">
      <c r="A307" s="259" t="s">
        <v>394</v>
      </c>
      <c r="B307" s="388">
        <f>IF('財産集計（入力シート） '!P75=0,0,'財産集計（入力シート） '!P73)</f>
        <v>200000000</v>
      </c>
    </row>
    <row r="308" spans="1:6" ht="15.95" customHeight="1">
      <c r="A308" s="259" t="s">
        <v>395</v>
      </c>
      <c r="B308" s="388">
        <f>IF('財産集計（入力シート） '!P75=0,0,'財産集計（入力シート） '!P75)</f>
        <v>20000000</v>
      </c>
    </row>
    <row r="309" spans="1:6" ht="15.95" customHeight="1">
      <c r="A309" s="259" t="s">
        <v>396</v>
      </c>
      <c r="B309" s="388">
        <f>IF('財産集計（入力シート） '!P75=0,0,B307-B308)</f>
        <v>180000000</v>
      </c>
    </row>
    <row r="310" spans="1:6" ht="15.95" customHeight="1" thickBot="1">
      <c r="A310" s="261" t="s">
        <v>397</v>
      </c>
      <c r="B310" s="389">
        <f>IF('財産集計（入力シート） '!P75=0,0,'財産集計（入力シート） '!R44)</f>
        <v>1419908959</v>
      </c>
    </row>
    <row r="312" spans="1:6" ht="15.95" customHeight="1">
      <c r="A312" s="282" t="s">
        <v>433</v>
      </c>
    </row>
    <row r="314" spans="1:6" ht="15.95" customHeight="1" thickBot="1">
      <c r="A314" s="282" t="s">
        <v>197</v>
      </c>
    </row>
    <row r="315" spans="1:6" ht="15.95" customHeight="1">
      <c r="A315" s="390" t="s">
        <v>320</v>
      </c>
      <c r="B315" s="357" t="s">
        <v>643</v>
      </c>
      <c r="C315" s="357" t="s">
        <v>644</v>
      </c>
      <c r="D315" s="357" t="s">
        <v>645</v>
      </c>
      <c r="E315" s="357" t="s">
        <v>435</v>
      </c>
      <c r="F315" s="391"/>
    </row>
    <row r="316" spans="1:6" ht="15.95" customHeight="1">
      <c r="A316" s="392" t="str">
        <f>IF('財産集計（入力シート） '!P75=0,0,'税額計算（出力シート） '!D5)</f>
        <v>小林洋子</v>
      </c>
      <c r="B316" s="345">
        <f>IF('財産集計（入力シート） '!P75=0,0,'財産集計（入力シート） '!D48)</f>
        <v>369804624</v>
      </c>
      <c r="C316" s="301"/>
      <c r="D316" s="520">
        <f>IF('財産集計（入力シート） '!P75=0,0,ROUND(B316/C321,7))</f>
        <v>0.26044250000000002</v>
      </c>
      <c r="E316" s="205">
        <f>ROUNDDOWN(I303*D316,0)</f>
        <v>1562655</v>
      </c>
      <c r="F316" s="330"/>
    </row>
    <row r="317" spans="1:6" ht="15.95" customHeight="1">
      <c r="A317" s="392" t="str">
        <f>IF('財産集計（入力シート） '!P75=0,0,'税額計算（出力シート） '!E5)</f>
        <v>小林智子</v>
      </c>
      <c r="B317" s="301">
        <f>IF('財産集計（入力シート） '!P75=0,0,'財産集計（入力シート） '!E48)</f>
        <v>0</v>
      </c>
      <c r="C317" s="301"/>
      <c r="D317" s="520">
        <f>IF('財産集計（入力シート） '!P75=0,0,ROUND(B317/C321,7))</f>
        <v>0</v>
      </c>
      <c r="E317" s="205">
        <f>ROUNDDOWN(I303*D317,0)</f>
        <v>0</v>
      </c>
      <c r="F317" s="330"/>
    </row>
    <row r="318" spans="1:6" ht="15.95" customHeight="1">
      <c r="A318" s="392" t="str">
        <f>IF('財産集計（入力シート） '!P75=0,0,'税額計算（出力シート） '!F5)</f>
        <v>小林尊琉</v>
      </c>
      <c r="B318" s="345">
        <f>IF('財産集計（入力シート） '!P75=0,0,'財産集計（入力シート） '!F48)</f>
        <v>357193757</v>
      </c>
      <c r="C318" s="301"/>
      <c r="D318" s="520">
        <f>IF('財産集計（入力シート） '!P75=0,0,ROUND(B318/C321,7))</f>
        <v>0.25156099999999998</v>
      </c>
      <c r="E318" s="205">
        <f>ROUNDDOWN(I303*D318,0)</f>
        <v>1509366</v>
      </c>
      <c r="F318" s="330"/>
    </row>
    <row r="319" spans="1:6" ht="15.95" customHeight="1">
      <c r="A319" s="392" t="str">
        <f>IF('財産集計（入力シート） '!P75=0,0,'税額計算（出力シート） '!G5)</f>
        <v>小林二郎</v>
      </c>
      <c r="B319" s="345">
        <f>IF('財産集計（入力シート） '!P75=0,0,'財産集計（入力シート） '!G48)</f>
        <v>288260174</v>
      </c>
      <c r="C319" s="301"/>
      <c r="D319" s="520">
        <f>IF('財産集計（入力シート） '!P75=0,0,ROUND(B319/C321,7))</f>
        <v>0.2030131</v>
      </c>
      <c r="E319" s="205">
        <f>ROUNDDOWN(I303*D319,0)</f>
        <v>1218078</v>
      </c>
      <c r="F319" s="330"/>
    </row>
    <row r="320" spans="1:6" ht="15.95" customHeight="1" thickBot="1">
      <c r="A320" s="393" t="str">
        <f>IF('財産集計（入力シート） '!P75=0,0,'税額計算（出力シート） '!I5)</f>
        <v>小林　円</v>
      </c>
      <c r="B320" s="394">
        <f>IF('財産集計（入力シート） '!P75=0,0,'財産集計（入力シート） '!I48)</f>
        <v>167654985</v>
      </c>
      <c r="C320" s="371"/>
      <c r="D320" s="521">
        <f>IF('財産集計（入力シート） '!P75=0,0,ROUND(B320/C321,7))</f>
        <v>0.1180745</v>
      </c>
      <c r="E320" s="294">
        <f>ROUNDDOWN(I303*D320,0)</f>
        <v>708447</v>
      </c>
      <c r="F320" s="395"/>
    </row>
    <row r="321" spans="1:6" ht="15.95" customHeight="1" thickBot="1">
      <c r="B321" s="396" t="s">
        <v>286</v>
      </c>
      <c r="C321" s="360">
        <f>IF('財産集計（入力シート） '!P75=0,0,'財産集計（入力シート） '!R44)</f>
        <v>1419908959</v>
      </c>
    </row>
    <row r="322" spans="1:6" ht="15.95" customHeight="1">
      <c r="A322" s="282" t="s">
        <v>198</v>
      </c>
    </row>
    <row r="323" spans="1:6" ht="15.95" customHeight="1">
      <c r="A323" s="340" t="s">
        <v>320</v>
      </c>
      <c r="B323" s="340" t="s">
        <v>646</v>
      </c>
      <c r="C323" s="340" t="s">
        <v>647</v>
      </c>
      <c r="D323" s="340" t="s">
        <v>648</v>
      </c>
      <c r="E323" s="340" t="s">
        <v>649</v>
      </c>
      <c r="F323" s="346"/>
    </row>
    <row r="324" spans="1:6" ht="15.95" customHeight="1">
      <c r="A324" s="282" t="str">
        <f>IF(B153=0,"",'税額計算（出力シート） '!D5)</f>
        <v/>
      </c>
      <c r="B324" s="345">
        <f>C158</f>
        <v>0</v>
      </c>
      <c r="C324" s="301"/>
      <c r="D324" s="520">
        <f>IF(C329=0,0,ROUND(B324/C329,7))</f>
        <v>0</v>
      </c>
      <c r="E324" s="301">
        <f>IF(C329=0,0,ROUNDDOWN(I303*D324,0))</f>
        <v>0</v>
      </c>
      <c r="F324" s="301"/>
    </row>
    <row r="325" spans="1:6" ht="15.95" customHeight="1">
      <c r="A325" s="397" t="str">
        <f>IF(B153=0,"",'税額計算（出力シート） '!E5)</f>
        <v/>
      </c>
      <c r="B325" s="345">
        <f>D158</f>
        <v>0</v>
      </c>
      <c r="C325" s="301"/>
      <c r="D325" s="520">
        <f>IF(C329=0,0,ROUND(B325/C329,7))</f>
        <v>0</v>
      </c>
      <c r="E325" s="301">
        <f>IF(C329=0,0,ROUNDDOWN(I303*D325,0))</f>
        <v>0</v>
      </c>
      <c r="F325" s="301"/>
    </row>
    <row r="326" spans="1:6" ht="15.95" customHeight="1">
      <c r="A326" s="397" t="str">
        <f>IF(B153=0,"",'税額計算（出力シート） '!F5)</f>
        <v/>
      </c>
      <c r="B326" s="345">
        <f>E158</f>
        <v>0</v>
      </c>
      <c r="C326" s="301"/>
      <c r="D326" s="520">
        <f>IF(C329=0,0,ROUND(B326/C329,7))</f>
        <v>0</v>
      </c>
      <c r="E326" s="301">
        <f>IF(C329=0,0,ROUNDDOWN(I303*D326,0))</f>
        <v>0</v>
      </c>
      <c r="F326" s="301"/>
    </row>
    <row r="327" spans="1:6" ht="15.95" customHeight="1">
      <c r="A327" s="397" t="str">
        <f>IF(B153=0,"",'税額計算（出力シート） '!G5)</f>
        <v/>
      </c>
      <c r="B327" s="345">
        <f>F158</f>
        <v>0</v>
      </c>
      <c r="C327" s="301"/>
      <c r="D327" s="520">
        <f>IF(C329=0,0,ROUND(B327/C329,7))</f>
        <v>0</v>
      </c>
      <c r="E327" s="301">
        <f>IF(C329=0,0,ROUNDDOWN(I303*D327,0))</f>
        <v>0</v>
      </c>
      <c r="F327" s="301"/>
    </row>
    <row r="328" spans="1:6" ht="15.95" customHeight="1">
      <c r="A328" s="397" t="str">
        <f>IF(B153=0,"",'税額計算（出力シート） '!I5)</f>
        <v/>
      </c>
      <c r="B328" s="345">
        <f>G158</f>
        <v>0</v>
      </c>
      <c r="C328" s="301"/>
      <c r="D328" s="520">
        <f>IF(C329=0,0,ROUND(B328/C329,7))</f>
        <v>0</v>
      </c>
      <c r="E328" s="301">
        <f>IF(C329=0,0,ROUNDDOWN(I303*D328,0))</f>
        <v>0</v>
      </c>
      <c r="F328" s="301"/>
    </row>
    <row r="329" spans="1:6" ht="15.95" customHeight="1">
      <c r="B329" s="396" t="s">
        <v>321</v>
      </c>
      <c r="C329" s="345">
        <f>B156</f>
        <v>0</v>
      </c>
    </row>
    <row r="335" spans="1:6" ht="15.95" customHeight="1">
      <c r="A335" s="282" t="s">
        <v>199</v>
      </c>
    </row>
    <row r="337" spans="1:9" ht="15.95" customHeight="1">
      <c r="A337" s="282" t="s">
        <v>200</v>
      </c>
    </row>
    <row r="338" spans="1:9" ht="15.95" customHeight="1" thickBot="1"/>
    <row r="339" spans="1:9" ht="15.95" customHeight="1">
      <c r="A339" s="348" t="s">
        <v>147</v>
      </c>
      <c r="B339" s="365" t="str">
        <f>IF('税額計算（出力シート） '!R38=0,"",'税額計算（出力シート） '!D5)</f>
        <v>小林洋子</v>
      </c>
      <c r="C339" s="365" t="str">
        <f>IF('税額計算（出力シート） '!R38=0,"",'税額計算（出力シート） '!E5)</f>
        <v>小林智子</v>
      </c>
      <c r="D339" s="365" t="str">
        <f>IF('税額計算（出力シート） '!R38=0,"",'税額計算（出力シート） '!F5)</f>
        <v>小林尊琉</v>
      </c>
      <c r="E339" s="365" t="str">
        <f>IF('税額計算（出力シート） '!R38=0,"",'税額計算（出力シート） '!G5)</f>
        <v>小林二郎</v>
      </c>
      <c r="F339" s="365" t="str">
        <f>IF('税額計算（出力シート） '!R38=0,"",'税額計算（出力シート） '!H5)</f>
        <v>佐藤英理</v>
      </c>
      <c r="G339" s="365" t="str">
        <f>IF('税額計算（出力シート） '!R38=0,"",'税額計算（出力シート） '!I5)</f>
        <v>小林　円</v>
      </c>
      <c r="H339" s="398" t="str">
        <f>IF('税額計算（出力シート） '!T38=0,"",'税額計算（出力シート） '!J5)</f>
        <v/>
      </c>
      <c r="I339" s="399" t="s">
        <v>223</v>
      </c>
    </row>
    <row r="340" spans="1:9" ht="15.95" customHeight="1">
      <c r="A340" s="259" t="s">
        <v>650</v>
      </c>
      <c r="B340" s="337"/>
      <c r="C340" s="337"/>
      <c r="D340" s="337"/>
      <c r="E340" s="337"/>
      <c r="F340" s="337"/>
      <c r="G340" s="337"/>
      <c r="H340" s="400"/>
      <c r="I340" s="401"/>
    </row>
    <row r="341" spans="1:9" ht="15.95" customHeight="1">
      <c r="A341" s="584" t="s">
        <v>651</v>
      </c>
      <c r="B341" s="340" t="s">
        <v>322</v>
      </c>
      <c r="C341" s="340"/>
      <c r="D341" s="340" t="s">
        <v>322</v>
      </c>
      <c r="E341" s="340"/>
      <c r="F341" s="340" t="s">
        <v>322</v>
      </c>
      <c r="G341" s="340" t="s">
        <v>322</v>
      </c>
      <c r="H341" s="402" t="s">
        <v>322</v>
      </c>
      <c r="I341" s="401"/>
    </row>
    <row r="342" spans="1:9" ht="15.95" customHeight="1">
      <c r="A342" s="585" t="s">
        <v>652</v>
      </c>
      <c r="B342" s="403"/>
      <c r="C342" s="404"/>
      <c r="D342" s="403"/>
      <c r="E342" s="403"/>
      <c r="F342" s="403"/>
      <c r="G342" s="403"/>
      <c r="H342" s="405"/>
      <c r="I342" s="401"/>
    </row>
    <row r="343" spans="1:9" ht="15.95" customHeight="1">
      <c r="A343" s="259" t="s">
        <v>436</v>
      </c>
      <c r="B343" s="403"/>
      <c r="C343" s="403"/>
      <c r="D343" s="403"/>
      <c r="E343" s="403"/>
      <c r="F343" s="403"/>
      <c r="G343" s="403"/>
      <c r="H343" s="405"/>
      <c r="I343" s="401"/>
    </row>
    <row r="344" spans="1:9" ht="15.95" customHeight="1">
      <c r="A344" s="259" t="s">
        <v>437</v>
      </c>
      <c r="B344" s="370">
        <f>IF('税額計算（出力シート） '!R38=0,0,ROUNDDOWN(B342*B343,0))</f>
        <v>0</v>
      </c>
      <c r="C344" s="370">
        <f>IF('税額計算（出力シート） '!R38=0,0,ROUNDDOWN(C342*C343,0))</f>
        <v>0</v>
      </c>
      <c r="D344" s="370">
        <f>IF('税額計算（出力シート） '!R38=0,0,ROUNDDOWN(D342*D343,0))</f>
        <v>0</v>
      </c>
      <c r="E344" s="370">
        <f>IF('税額計算（出力シート） '!R38=0,0,ROUNDDOWN(E342*E343,0))</f>
        <v>0</v>
      </c>
      <c r="F344" s="370">
        <f>IF('税額計算（出力シート） '!R38=0,0,ROUNDDOWN(F342*F343,0))</f>
        <v>0</v>
      </c>
      <c r="G344" s="370">
        <f>IF('税額計算（出力シート） '!R38=0,0,ROUNDDOWN(G342*G343,0))</f>
        <v>0</v>
      </c>
      <c r="H344" s="406">
        <f>IF('税額計算（出力シート） '!R38=0,0,ROUNDDOWN(H342*H343,0))</f>
        <v>0</v>
      </c>
      <c r="I344" s="407">
        <f>SUM(B344:H344)</f>
        <v>0</v>
      </c>
    </row>
    <row r="345" spans="1:9" ht="15.95" customHeight="1">
      <c r="A345" s="259" t="s">
        <v>438</v>
      </c>
      <c r="B345" s="370">
        <f>IF('財産集計（入力シート） '!R51=0,0,'財産集計（入力シート） '!D51)</f>
        <v>0</v>
      </c>
      <c r="C345" s="370">
        <f>IF('財産集計（入力シート） '!R51=0,0,'財産集計（入力シート） '!E51)</f>
        <v>0</v>
      </c>
      <c r="D345" s="370">
        <f>IF('財産集計（入力シート） '!R51=0,0,'財産集計（入力シート） '!F51)</f>
        <v>1120000</v>
      </c>
      <c r="E345" s="370">
        <f>IF('財産集計（入力シート） '!R51=0,0,'財産集計（入力シート） '!G51)</f>
        <v>0</v>
      </c>
      <c r="F345" s="370">
        <f>IF('財産集計（入力シート） '!R51=0,0,'財産集計（入力シート） '!H51)</f>
        <v>649600</v>
      </c>
      <c r="G345" s="370">
        <f>IF('財産集計（入力シート） '!R51=0,0,'財産集計（入力シート） '!I51)</f>
        <v>0</v>
      </c>
      <c r="H345" s="406">
        <f>IF('財産集計（入力シート） '!R51=0,0,'財産集計（入力シート） '!J51)</f>
        <v>0</v>
      </c>
      <c r="I345" s="407">
        <f>SUM(B345:H345)</f>
        <v>1769600</v>
      </c>
    </row>
    <row r="346" spans="1:9" ht="15.95" customHeight="1">
      <c r="A346" s="259" t="s">
        <v>439</v>
      </c>
      <c r="B346" s="408">
        <f>IF('税額計算（出力シート） '!R38=0,0,IF('財産集計（入力シート） '!D44+'財産集計（入力シート） '!D45+'財産集計（入力シート） '!D46=0,0,ROUNDDOWN(申告書記入項目一覧表!B345/('財産集計（入力シート） '!D44+'財産集計（入力シート） '!D45+'財産集計（入力シート） '!D46),4)))</f>
        <v>0</v>
      </c>
      <c r="C346" s="408">
        <f>IF('税額計算（出力シート） '!R38=0,0,IF('財産集計（入力シート） '!E44+'財産集計（入力シート） '!E45+'財産集計（入力シート） '!E46=0,0,ROUNDDOWN(申告書記入項目一覧表!C345/('財産集計（入力シート） '!E44+'財産集計（入力シート） '!E45+'財産集計（入力シート） '!E46),4)))</f>
        <v>0</v>
      </c>
      <c r="D346" s="408">
        <f>IF('税額計算（出力シート） '!R38=0,0,IF('財産集計（入力シート） '!F44+'財産集計（入力シート） '!F45+'財産集計（入力シート） '!F46=0,0,ROUNDDOWN(申告書記入項目一覧表!D345/('財産集計（入力シート） '!F44+'財産集計（入力シート） '!F45+'財産集計（入力シート） '!F46),4)))</f>
        <v>3.0999999999999999E-3</v>
      </c>
      <c r="E346" s="408">
        <f>IF('税額計算（出力シート） '!R38=0,0,IF('財産集計（入力シート） '!G44+'財産集計（入力シート） '!G45+'財産集計（入力シート） '!G46=0,0,ROUNDDOWN(申告書記入項目一覧表!E345/('財産集計（入力シート） '!G44+'財産集計（入力シート） '!G45+'財産集計（入力シート） '!G46),4)))</f>
        <v>0</v>
      </c>
      <c r="F346" s="408">
        <f>IF('税額計算（出力シート） '!R38=0,0,IF('財産集計（入力シート） '!H44+'財産集計（入力シート） '!H45+'財産集計（入力シート） '!H46=0,0,ROUNDDOWN(申告書記入項目一覧表!F345/('財産集計（入力シート） '!H44+'財産集計（入力シート） '!H45+'財産集計（入力シート） '!H46),4)))</f>
        <v>8.6999999999999994E-3</v>
      </c>
      <c r="G346" s="408">
        <f>IF('税額計算（出力シート） '!R38=0,0,IF('財産集計（入力シート） '!I44+'財産集計（入力シート） '!I45+'財産集計（入力シート） '!I46=0,0,ROUNDDOWN(申告書記入項目一覧表!G345/('財産集計（入力シート） '!I44+'財産集計（入力シート） '!I45+'財産集計（入力シート） '!I46),4)))</f>
        <v>0</v>
      </c>
      <c r="H346" s="409">
        <f>IF('税額計算（出力シート） '!R38=0,0,IF('財産集計（入力シート） '!J44+'財産集計（入力シート） '!J45+'財産集計（入力シート） '!J46=0,0,ROUNDDOWN(申告書記入項目一覧表!H345/('財産集計（入力シート） '!J44+'財産集計（入力シート） '!J45+'財産集計（入力シート） '!J46),4)))</f>
        <v>0</v>
      </c>
      <c r="I346" s="401"/>
    </row>
    <row r="347" spans="1:9" ht="15.95" customHeight="1">
      <c r="A347" s="259" t="s">
        <v>440</v>
      </c>
      <c r="B347" s="370">
        <f>IF(('税額計算（出力シート） '!D30+'税額計算（出力シート） '!D31-('税額計算（出力シート） '!D39+'税額計算（出力シート） '!D38))&lt;=0,0,ROUNDDOWN(('税額計算（出力シート） '!D30+'税額計算（出力シート） '!D31-('税額計算（出力シート） '!D39-'税額計算（出力シート） '!D38))*B346,0))</f>
        <v>0</v>
      </c>
      <c r="C347" s="370">
        <f>IF(('税額計算（出力シート） '!E30+'税額計算（出力シート） '!E31-('税額計算（出力シート） '!E39+'税額計算（出力シート） '!E38))&lt;=0,0,ROUNDDOWN(('税額計算（出力シート） '!E30+'税額計算（出力シート） '!E31-('税額計算（出力シート） '!E39-'税額計算（出力シート） '!E38))*C346,0))</f>
        <v>0</v>
      </c>
      <c r="D347" s="370">
        <f>IF(('税額計算（出力シート） '!F30+'税額計算（出力シート） '!F31-('税額計算（出力シート） '!F39+'税額計算（出力シート） '!F38))&lt;=0,0,ROUNDDOWN(('税額計算（出力シート） '!F30+'税額計算（出力シート） '!F31-('税額計算（出力シート） '!F39-'税額計算（出力シート） '!F38))*D346,0))</f>
        <v>370921</v>
      </c>
      <c r="E347" s="370">
        <f>IF(('税額計算（出力シート） '!G30+'税額計算（出力シート） '!G31-('税額計算（出力シート） '!G39+'税額計算（出力シート） '!G38))&lt;=0,0,ROUNDDOWN(('税額計算（出力シート） '!G30+'税額計算（出力シート） '!G31-('税額計算（出力シート） '!G39-'税額計算（出力シート） '!G38))*E346,0))</f>
        <v>0</v>
      </c>
      <c r="F347" s="370">
        <f>IF(('税額計算（出力シート） '!H30+'税額計算（出力シート） '!H31-('税額計算（出力シート） '!H39+'税額計算（出力シート） '!H38))&lt;=0,0,ROUNDDOWN(('税額計算（出力シート） '!H30+'税額計算（出力シート） '!H31-('税額計算（出力シート） '!H39-'税額計算（出力シート） '!H38))*F346,0))</f>
        <v>262203</v>
      </c>
      <c r="G347" s="370">
        <f>IF(('税額計算（出力シート） '!I30+'税額計算（出力シート） '!I31-('税額計算（出力シート） '!I39+'税額計算（出力シート） '!I38))&lt;=0,0,ROUNDDOWN(('税額計算（出力シート） '!I30+'税額計算（出力シート） '!I31-('税額計算（出力シート） '!I39-'税額計算（出力シート） '!I38))*G346,0))</f>
        <v>0</v>
      </c>
      <c r="H347" s="406">
        <f>IF(('税額計算（出力シート） '!J30+'税額計算（出力シート） '!J31-('税額計算（出力シート） '!J39+'税額計算（出力シート） '!J38))&lt;=0,0,ROUNDDOWN(('税額計算（出力シート） '!J30+'税額計算（出力シート） '!J31-('税額計算（出力シート） '!J39-'税額計算（出力シート） '!J38))*H346,0))</f>
        <v>0</v>
      </c>
      <c r="I347" s="407">
        <f>SUM(B347:H347)</f>
        <v>633124</v>
      </c>
    </row>
    <row r="348" spans="1:9" ht="15.95" customHeight="1" thickBot="1">
      <c r="A348" s="261" t="s">
        <v>503</v>
      </c>
      <c r="B348" s="410">
        <f t="shared" ref="B348:G348" si="25">MIN(B344,B347)</f>
        <v>0</v>
      </c>
      <c r="C348" s="410">
        <f t="shared" si="25"/>
        <v>0</v>
      </c>
      <c r="D348" s="410">
        <f t="shared" si="25"/>
        <v>0</v>
      </c>
      <c r="E348" s="410">
        <f t="shared" si="25"/>
        <v>0</v>
      </c>
      <c r="F348" s="410">
        <f t="shared" si="25"/>
        <v>0</v>
      </c>
      <c r="G348" s="410">
        <f t="shared" si="25"/>
        <v>0</v>
      </c>
      <c r="H348" s="411">
        <f>MIN(H344,H347)</f>
        <v>0</v>
      </c>
      <c r="I348" s="407">
        <f>'税額計算（出力シート） '!R38</f>
        <v>1769600</v>
      </c>
    </row>
    <row r="350" spans="1:9" ht="15.95" customHeight="1">
      <c r="A350" s="282" t="s">
        <v>201</v>
      </c>
    </row>
    <row r="352" spans="1:9" ht="15.95" customHeight="1">
      <c r="A352" s="502" t="s">
        <v>147</v>
      </c>
      <c r="B352" s="516"/>
      <c r="C352" s="516"/>
      <c r="D352" s="516"/>
    </row>
    <row r="353" spans="1:7" ht="15.95" customHeight="1">
      <c r="A353" s="502">
        <v>1</v>
      </c>
      <c r="B353" s="502"/>
      <c r="C353" s="502"/>
      <c r="D353" s="502"/>
    </row>
    <row r="354" spans="1:7" ht="15.95" customHeight="1">
      <c r="A354" s="502">
        <v>2</v>
      </c>
      <c r="B354" s="502"/>
      <c r="C354" s="502"/>
      <c r="D354" s="502"/>
    </row>
    <row r="355" spans="1:7" ht="15.95" customHeight="1">
      <c r="A355" s="502">
        <v>3</v>
      </c>
      <c r="B355" s="502"/>
      <c r="C355" s="502"/>
      <c r="D355" s="502"/>
    </row>
    <row r="356" spans="1:7" ht="15.95" customHeight="1">
      <c r="A356" s="502">
        <v>4</v>
      </c>
      <c r="B356" s="502"/>
      <c r="C356" s="502"/>
      <c r="D356" s="502"/>
      <c r="G356" s="412"/>
    </row>
    <row r="357" spans="1:7" ht="15.95" customHeight="1">
      <c r="A357" s="502">
        <v>5</v>
      </c>
      <c r="B357" s="502"/>
      <c r="C357" s="502"/>
      <c r="D357" s="502"/>
    </row>
    <row r="358" spans="1:7" ht="15.95" customHeight="1">
      <c r="A358" s="502">
        <v>6</v>
      </c>
      <c r="B358" s="502"/>
      <c r="C358" s="502"/>
      <c r="D358" s="502"/>
    </row>
    <row r="359" spans="1:7" ht="15.95" customHeight="1">
      <c r="A359" s="502">
        <v>7</v>
      </c>
      <c r="B359" s="502"/>
      <c r="C359" s="502"/>
      <c r="D359" s="502"/>
    </row>
    <row r="360" spans="1:7" ht="15.95" customHeight="1">
      <c r="A360" s="295"/>
      <c r="B360" s="295"/>
      <c r="C360" s="295"/>
      <c r="D360" s="295"/>
    </row>
    <row r="361" spans="1:7" ht="15.95" customHeight="1">
      <c r="A361" s="295"/>
      <c r="B361" s="295"/>
      <c r="C361" s="295"/>
      <c r="D361" s="295"/>
    </row>
    <row r="362" spans="1:7" ht="15.95" customHeight="1">
      <c r="A362" s="295"/>
      <c r="B362" s="295"/>
      <c r="C362" s="295"/>
      <c r="D362" s="295"/>
    </row>
    <row r="363" spans="1:7" ht="15.95" customHeight="1">
      <c r="A363" s="295"/>
      <c r="B363" s="295"/>
      <c r="C363" s="295"/>
      <c r="D363" s="295"/>
    </row>
    <row r="364" spans="1:7" ht="15.95" customHeight="1">
      <c r="A364" s="295"/>
      <c r="B364" s="295"/>
      <c r="C364" s="295"/>
      <c r="D364" s="295"/>
    </row>
    <row r="365" spans="1:7" ht="15.95" customHeight="1">
      <c r="A365" s="295"/>
      <c r="B365" s="295"/>
      <c r="C365" s="295"/>
      <c r="D365" s="295"/>
    </row>
    <row r="366" spans="1:7" ht="15.95" customHeight="1">
      <c r="A366" s="295"/>
      <c r="B366" s="295"/>
      <c r="C366" s="295"/>
      <c r="D366" s="295"/>
    </row>
    <row r="367" spans="1:7" ht="15.95" customHeight="1">
      <c r="A367" s="295"/>
      <c r="B367" s="295"/>
      <c r="C367" s="295"/>
      <c r="D367" s="295"/>
    </row>
    <row r="368" spans="1:7" ht="15.95" customHeight="1">
      <c r="A368" s="295"/>
      <c r="B368" s="295"/>
      <c r="C368" s="295"/>
      <c r="D368" s="295"/>
    </row>
    <row r="369" spans="1:7" ht="15.95" customHeight="1">
      <c r="A369" s="295"/>
      <c r="B369" s="295"/>
      <c r="C369" s="295"/>
      <c r="D369" s="295"/>
    </row>
    <row r="370" spans="1:7" ht="15.95" customHeight="1">
      <c r="A370" s="295"/>
      <c r="B370" s="295"/>
      <c r="C370" s="295"/>
      <c r="D370" s="295"/>
    </row>
    <row r="371" spans="1:7" ht="15.95" customHeight="1">
      <c r="A371" s="295"/>
      <c r="B371" s="295"/>
      <c r="C371" s="295"/>
      <c r="D371" s="295"/>
    </row>
    <row r="372" spans="1:7" ht="15.95" customHeight="1">
      <c r="A372" s="282" t="s">
        <v>443</v>
      </c>
      <c r="G372" s="412"/>
    </row>
    <row r="373" spans="1:7" ht="15.95" customHeight="1" thickBot="1"/>
    <row r="374" spans="1:7" ht="15.95" customHeight="1">
      <c r="A374" s="373" t="s">
        <v>304</v>
      </c>
      <c r="B374" s="413" t="str">
        <f>IF('財産集計（入力シート） '!I2=0,"",'財産集計（入力シート） '!I1)</f>
        <v/>
      </c>
    </row>
    <row r="375" spans="1:7" ht="15.95" customHeight="1" thickBot="1">
      <c r="A375" s="414" t="s">
        <v>441</v>
      </c>
      <c r="B375" s="415" t="str">
        <f>IF('財産集計（入力シート） '!I2=0,"",'財産集計（入力シート） '!I2)</f>
        <v/>
      </c>
    </row>
    <row r="377" spans="1:7" ht="15.95" customHeight="1">
      <c r="A377" s="808" t="s">
        <v>444</v>
      </c>
      <c r="B377" s="808"/>
      <c r="C377" s="808"/>
    </row>
    <row r="378" spans="1:7" ht="15.95" customHeight="1">
      <c r="A378" s="868" t="s">
        <v>445</v>
      </c>
      <c r="B378" s="868"/>
      <c r="C378" s="868"/>
    </row>
    <row r="379" spans="1:7" ht="15.95" customHeight="1">
      <c r="A379" s="875" t="s">
        <v>625</v>
      </c>
      <c r="B379" s="876"/>
      <c r="C379" s="876"/>
      <c r="D379" s="876"/>
      <c r="E379" s="877"/>
      <c r="F379" s="205">
        <f>IF('財産集計（入力シート） '!E20+'財産集計（入力シート） '!E21=0,0,F458)</f>
        <v>0</v>
      </c>
    </row>
    <row r="380" spans="1:7" ht="15.95" customHeight="1">
      <c r="A380" s="850" t="s">
        <v>626</v>
      </c>
      <c r="B380" s="850"/>
      <c r="C380" s="850"/>
      <c r="D380" s="850"/>
      <c r="E380" s="850"/>
      <c r="F380" s="205">
        <f>IF('財産集計（入力シート） '!E42+'財産集計（入力シート） '!E43=0,0,'財産集計（入力シート） '!E42+'財産集計（入力シート） '!E43)</f>
        <v>0</v>
      </c>
    </row>
    <row r="381" spans="1:7" ht="15.95" customHeight="1">
      <c r="A381" s="850" t="s">
        <v>627</v>
      </c>
      <c r="B381" s="850"/>
      <c r="C381" s="850"/>
      <c r="D381" s="850"/>
      <c r="E381" s="850"/>
      <c r="F381" s="205">
        <f>F379-F380</f>
        <v>0</v>
      </c>
    </row>
    <row r="382" spans="1:7" ht="15.95" customHeight="1">
      <c r="A382" s="850" t="s">
        <v>459</v>
      </c>
      <c r="B382" s="850"/>
      <c r="C382" s="850"/>
      <c r="D382" s="850"/>
      <c r="E382" s="850"/>
      <c r="F382" s="205">
        <f>F381*0.2</f>
        <v>0</v>
      </c>
    </row>
    <row r="383" spans="1:7" ht="15.95" customHeight="1">
      <c r="A383" s="850" t="s">
        <v>628</v>
      </c>
      <c r="B383" s="850"/>
      <c r="C383" s="850"/>
      <c r="D383" s="850"/>
      <c r="E383" s="850"/>
      <c r="F383" s="205">
        <f>IF('財産集計（入力シート） '!E20+'財産集計（入力シート） '!E21=0,0,'財産集計（入力シート） '!R44-'財産集計（入力シート） '!E44)</f>
        <v>0</v>
      </c>
    </row>
    <row r="384" spans="1:7" ht="15.95" customHeight="1">
      <c r="A384" s="850" t="s">
        <v>629</v>
      </c>
      <c r="B384" s="850"/>
      <c r="C384" s="850"/>
      <c r="D384" s="850"/>
      <c r="E384" s="850"/>
      <c r="F384" s="205">
        <f>IF('財産集計（入力シート） '!E20+'財産集計（入力シート） '!E21=0,0,'税額計算（出力シート） '!R8)</f>
        <v>0</v>
      </c>
    </row>
    <row r="385" spans="1:8" ht="15.95" customHeight="1">
      <c r="A385" s="850" t="s">
        <v>630</v>
      </c>
      <c r="B385" s="850"/>
      <c r="C385" s="850"/>
      <c r="D385" s="850"/>
      <c r="E385" s="850"/>
      <c r="F385" s="205">
        <f>F381+F383-F384</f>
        <v>0</v>
      </c>
      <c r="G385" s="412"/>
    </row>
    <row r="386" spans="1:8" ht="15.95" customHeight="1">
      <c r="A386" s="850" t="s">
        <v>631</v>
      </c>
      <c r="B386" s="850"/>
      <c r="C386" s="850"/>
      <c r="D386" s="850"/>
      <c r="E386" s="850"/>
      <c r="F386" s="205">
        <f>F382+F383-F384</f>
        <v>0</v>
      </c>
    </row>
    <row r="387" spans="1:8" ht="15.95" customHeight="1" thickBot="1">
      <c r="A387" s="861" t="s">
        <v>446</v>
      </c>
      <c r="B387" s="861"/>
      <c r="C387" s="861"/>
      <c r="D387" s="331"/>
      <c r="E387" s="331"/>
      <c r="F387" s="332"/>
    </row>
    <row r="388" spans="1:8" ht="15.95" customHeight="1" thickBot="1">
      <c r="A388" s="331"/>
      <c r="B388" s="331"/>
      <c r="C388" s="869" t="s">
        <v>460</v>
      </c>
      <c r="D388" s="870"/>
      <c r="E388" s="871"/>
      <c r="F388" s="872" t="s">
        <v>461</v>
      </c>
      <c r="G388" s="873"/>
      <c r="H388" s="874"/>
    </row>
    <row r="389" spans="1:8" ht="15.95" customHeight="1">
      <c r="A389" s="348" t="s">
        <v>462</v>
      </c>
      <c r="B389" s="417" t="s">
        <v>349</v>
      </c>
      <c r="C389" s="259" t="s">
        <v>513</v>
      </c>
      <c r="D389" s="340" t="s">
        <v>465</v>
      </c>
      <c r="E389" s="418" t="s">
        <v>466</v>
      </c>
      <c r="F389" s="259" t="s">
        <v>504</v>
      </c>
      <c r="G389" s="340" t="s">
        <v>505</v>
      </c>
      <c r="H389" s="418" t="s">
        <v>506</v>
      </c>
    </row>
    <row r="390" spans="1:8" ht="15.95" customHeight="1">
      <c r="A390" s="419" t="s">
        <v>350</v>
      </c>
      <c r="B390" s="420"/>
      <c r="C390" s="421"/>
      <c r="D390" s="422"/>
      <c r="E390" s="260"/>
      <c r="F390" s="423"/>
      <c r="G390" s="424"/>
      <c r="H390" s="260"/>
    </row>
    <row r="391" spans="1:8" ht="15.95" customHeight="1">
      <c r="A391" s="425">
        <f>IF('財産集計（入力シート） '!E20+'財産集計（入力シート） '!E21=0,0,IF('税額計算（出力シート） '!D9=0,0,IF('税額計算（出力シート） '!F9&gt;=1,0,IF('税額計算（出力シート） '!G9&gt;1,0,IF('財産集計（入力シート） '!B57=0,'税額計算（出力シート） '!D5,'財産集計（入力シート） '!B57)))))</f>
        <v>0</v>
      </c>
      <c r="B391" s="416">
        <f>IF(A391=0,0,IF('財産集計（入力シート） '!B57=0,'税額計算（出力シート） '!D8,'財産集計（入力シート） '!D57))</f>
        <v>0</v>
      </c>
      <c r="C391" s="426">
        <f>IF(A391=0,0,IF('財産集計（入力シート） '!B57=0,1/2,'財産集計（入力シート） '!I57))</f>
        <v>0</v>
      </c>
      <c r="D391" s="345">
        <f>ROUNDDOWN(F385*C391,-3)</f>
        <v>0</v>
      </c>
      <c r="E391" s="260">
        <f t="shared" ref="E391:E397" si="26">IF(D391&lt;=10000000,D391*0.1,IF(D391&lt;=30000000,D391*0.15-500000,IF(D391&lt;=50000000,D391*0.2-2000000,IF(D391&lt;=100000000,D391*0.3-7000000,IF(D391&lt;=300000000,D391*0.4-17000000,D391*0.5-47000000)))))</f>
        <v>0</v>
      </c>
      <c r="F391" s="427">
        <f>IF(A391=0,0,IF('税額計算（出力シート） '!E9&gt;=1,1/2))</f>
        <v>0</v>
      </c>
      <c r="G391" s="205">
        <f>ROUNDDOWN(F386*F391,-3)</f>
        <v>0</v>
      </c>
      <c r="H391" s="260">
        <f>IF(G391&lt;=10000000,G391*0.1,IF(G391&lt;=30000000,G391*0.15-500000,IF(G391&lt;=50000000,G391*0.2-2000000,IF(G391&lt;=100000000,G391*0.3-7000000,IF(G391&lt;=300000000,G391*0.4-17000000,G391*0.5-47000000)))))</f>
        <v>0</v>
      </c>
    </row>
    <row r="392" spans="1:8" ht="15.95" customHeight="1">
      <c r="A392" s="425">
        <f>IF('財産集計（入力シート） '!E20+'財産集計（入力シート） '!E21=0,0,IF('税額計算（出力シート） '!F9&gt;=1,0,IF('財産集計（入力シート） '!B58=0,'税額計算（出力シート） '!E5,'財産集計（入力シート） '!B58)))</f>
        <v>0</v>
      </c>
      <c r="B392" s="416">
        <f>IF(A392=0,0,IF('財産集計（入力シート） '!B58=0,'税額計算（出力シート） '!E8,'財産集計（入力シート） '!D58))</f>
        <v>0</v>
      </c>
      <c r="C392" s="426">
        <f>IF(A392=0,0,IF('財産集計（入力シート） '!B58=0,1/2*1/'税額計算（出力シート） '!E9,'財産集計（入力シート） '!I58))</f>
        <v>0</v>
      </c>
      <c r="D392" s="345">
        <f>ROUNDDOWN(F385*C392,-3)</f>
        <v>0</v>
      </c>
      <c r="E392" s="260">
        <f t="shared" si="26"/>
        <v>0</v>
      </c>
      <c r="F392" s="427">
        <f>IF(A392=0,0,1/2*1/'税額計算（出力シート） '!E9)</f>
        <v>0</v>
      </c>
      <c r="G392" s="205">
        <f>ROUNDDOWN(F386*F392,-3)</f>
        <v>0</v>
      </c>
      <c r="H392" s="260">
        <f t="shared" ref="H392:H397" si="27">IF(G392&lt;=10000000,G392*0.1,IF(G392&lt;=30000000,G392*0.15-500000,IF(G392&lt;=50000000,G392*0.2-2000000,IF(G392&lt;=100000000,G392*0.3-7000000,IF(G392&lt;=300000000,G392*0.4-17000000,G392*0.5-47000000)))))</f>
        <v>0</v>
      </c>
    </row>
    <row r="393" spans="1:8" ht="15.95" customHeight="1">
      <c r="A393" s="425">
        <f>IF('財産集計（入力シート） '!E20+'財産集計（入力シート） '!E21=0,0,IF('税額計算（出力シート） '!F9&gt;=1,0,IF('財産集計（入力シート） '!B59=0,'税額計算（出力シート） '!F5,'財産集計（入力シート） '!B59)))</f>
        <v>0</v>
      </c>
      <c r="B393" s="416">
        <f>IF(A393=0,0,IF('財産集計（入力シート） '!B59=0,'税額計算（出力シート） '!E8,'財産集計（入力シート） '!D59))</f>
        <v>0</v>
      </c>
      <c r="C393" s="426">
        <f>IF(A393=0,0,IF('財産集計（入力シート） '!B59=0,1/2*1/'税額計算（出力シート） '!E9,'財産集計（入力シート） '!I59))</f>
        <v>0</v>
      </c>
      <c r="D393" s="345">
        <f>ROUNDDOWN(F385*C393,-3)</f>
        <v>0</v>
      </c>
      <c r="E393" s="260">
        <f t="shared" si="26"/>
        <v>0</v>
      </c>
      <c r="F393" s="427">
        <f>IF(A393=0,0,1/2*1/'税額計算（出力シート） '!E9)</f>
        <v>0</v>
      </c>
      <c r="G393" s="205">
        <f>ROUNDDOWN(F386*F393,-3)</f>
        <v>0</v>
      </c>
      <c r="H393" s="260">
        <f t="shared" si="27"/>
        <v>0</v>
      </c>
    </row>
    <row r="394" spans="1:8" ht="15.95" customHeight="1">
      <c r="A394" s="425">
        <f>IF('財産集計（入力シート） '!E20+'財産集計（入力シート） '!E21=0,0,IF('税額計算（出力シート） '!F9&gt;=1,0,IF('財産集計（入力シート） '!B60=0,'税額計算（出力シート） '!G5,'財産集計（入力シート） '!B60)))</f>
        <v>0</v>
      </c>
      <c r="B394" s="416">
        <f>IF(A394=0,0,IF('財産集計（入力シート） '!B60=0,'税額計算（出力シート） '!E8,'財産集計（入力シート） '!D60))</f>
        <v>0</v>
      </c>
      <c r="C394" s="426">
        <f>IF(A394=0,0,IF('財産集計（入力シート） '!B60=0,1/2*1/'税額計算（出力シート） '!E9,'財産集計（入力シート） '!I60))</f>
        <v>0</v>
      </c>
      <c r="D394" s="345">
        <f>ROUNDDOWN(F385*C394,-3)</f>
        <v>0</v>
      </c>
      <c r="E394" s="260">
        <f t="shared" si="26"/>
        <v>0</v>
      </c>
      <c r="F394" s="427">
        <f>IF(A394=0,0,1/2*1/'税額計算（出力シート） '!E9)</f>
        <v>0</v>
      </c>
      <c r="G394" s="205">
        <f>ROUNDDOWN(F386*F394,-3)</f>
        <v>0</v>
      </c>
      <c r="H394" s="260">
        <f t="shared" si="27"/>
        <v>0</v>
      </c>
    </row>
    <row r="395" spans="1:8" ht="15.95" customHeight="1">
      <c r="A395" s="428">
        <f>IF('財産集計（入力シート） '!E20+'財産集計（入力シート） '!E21=0,0,IF('税額計算（出力シート） '!F9&gt;=1,0,IF('財産集計（入力シート） '!B61=0,'税額計算（出力シート） '!I5,'財産集計（入力シート） '!B61)))</f>
        <v>0</v>
      </c>
      <c r="B395" s="429">
        <f>IF(A395=0,0,IF('財産集計（入力シート） '!B61=0,'税額計算（出力シート） '!E8,'財産集計（入力シート） '!D61))</f>
        <v>0</v>
      </c>
      <c r="C395" s="430">
        <f>IF(A395=0,0,IF('財産集計（入力シート） '!B61=0,1/2*1/'税額計算（出力シート） '!E9,'財産集計（入力シート） '!I61))</f>
        <v>0</v>
      </c>
      <c r="D395" s="345">
        <f>ROUNDDOWN(F385*C395,-3)</f>
        <v>0</v>
      </c>
      <c r="E395" s="260">
        <f t="shared" si="26"/>
        <v>0</v>
      </c>
      <c r="F395" s="427">
        <f>IF(A395=0,0,1/2*1/'税額計算（出力シート） '!E9)</f>
        <v>0</v>
      </c>
      <c r="G395" s="205">
        <f>ROUNDDOWN(F386*F395,-3)</f>
        <v>0</v>
      </c>
      <c r="H395" s="431">
        <f t="shared" si="27"/>
        <v>0</v>
      </c>
    </row>
    <row r="396" spans="1:8" ht="15.95" customHeight="1">
      <c r="A396" s="428">
        <f>IF('財産集計（入力シート） '!E20+'財産集計（入力シート） '!E21=0,0,IF('税額計算（出力シート） '!F9&gt;=1,0,IF('財産集計（入力シート） '!B62=0,'税額計算（出力シート） '!J5,'財産集計（入力シート） '!B62)))</f>
        <v>0</v>
      </c>
      <c r="B396" s="416">
        <f>IF(A396=0,0,IF('財産集計（入力シート） '!B62=0,'税額計算（出力シート） '!E8,'財産集計（入力シート） '!D62))</f>
        <v>0</v>
      </c>
      <c r="C396" s="426">
        <f>IF(A396=0,0,IF('財産集計（入力シート） '!B62=0,1/2*1/'税額計算（出力シート） '!E9,'財産集計（入力シート） '!I62))</f>
        <v>0</v>
      </c>
      <c r="D396" s="345">
        <f>ROUNDDOWN(F385*C396,-3)</f>
        <v>0</v>
      </c>
      <c r="E396" s="260">
        <f t="shared" si="26"/>
        <v>0</v>
      </c>
      <c r="F396" s="427">
        <f>IF(A396=0,0,1/2*1/'税額計算（出力シート） '!E9)</f>
        <v>0</v>
      </c>
      <c r="G396" s="205">
        <f>ROUNDDOWN(F386*F396,-3)</f>
        <v>0</v>
      </c>
      <c r="H396" s="431">
        <f t="shared" si="27"/>
        <v>0</v>
      </c>
    </row>
    <row r="397" spans="1:8" ht="15.95" customHeight="1" thickBot="1">
      <c r="A397" s="428">
        <f>IF('財産集計（入力シート） '!E20+'財産集計（入力シート） '!E21=0,0,IF('税額計算（出力シート） '!F9&gt;=1,0,IF('財産集計（入力シート） '!B63=0,'税額計算（出力シート） '!K5,'財産集計（入力シート） '!B63)))</f>
        <v>0</v>
      </c>
      <c r="B397" s="416">
        <f>IF(A397=0,0,IF('財産集計（入力シート） '!B63=0,'税額計算（出力シート） '!E8,'財産集計（入力シート） '!D63))</f>
        <v>0</v>
      </c>
      <c r="C397" s="432">
        <f>IF(A397=0,0,IF('財産集計（入力シート） '!B63=0,1/2*1/'税額計算（出力シート） '!E9,'財産集計（入力シート） '!I63))</f>
        <v>0</v>
      </c>
      <c r="D397" s="345">
        <f>ROUNDDOWN(F385*C397,-3)</f>
        <v>0</v>
      </c>
      <c r="E397" s="302">
        <f t="shared" si="26"/>
        <v>0</v>
      </c>
      <c r="F397" s="433">
        <f>IF(A397=0,0,1/2*1/'税額計算（出力シート） '!E9)</f>
        <v>0</v>
      </c>
      <c r="G397" s="294">
        <f>ROUNDDOWN(F386*F397,-3)</f>
        <v>0</v>
      </c>
      <c r="H397" s="431">
        <f t="shared" si="27"/>
        <v>0</v>
      </c>
    </row>
    <row r="398" spans="1:8" ht="15.95" customHeight="1">
      <c r="A398" s="434" t="s">
        <v>351</v>
      </c>
      <c r="B398" s="417"/>
      <c r="C398" s="435"/>
      <c r="D398" s="436"/>
      <c r="E398" s="437"/>
      <c r="F398" s="438"/>
      <c r="G398" s="439"/>
      <c r="H398" s="440"/>
    </row>
    <row r="399" spans="1:8" ht="15.95" customHeight="1">
      <c r="A399" s="425">
        <f>IF('財産集計（入力シート） '!E20+'財産集計（入力シート） '!E21=0,0,IF('税額計算（出力シート） '!F9=0,0,IF('税額計算（出力シート） '!D9&gt;=1,IF('財産集計（入力シート） '!B57=0,'税額計算（出力シート） '!D5,'財産集計（入力シート） '!B57))))</f>
        <v>0</v>
      </c>
      <c r="B399" s="416">
        <f>IF(A399=0,0,IF('財産集計（入力シート） '!B57=0,'税額計算（出力シート） '!D8,'財産集計（入力シート） '!D57))</f>
        <v>0</v>
      </c>
      <c r="C399" s="441">
        <f>IF(A399=0,0,IF('税額計算（出力シート） '!F9=1,IF('財産集計（入力シート） '!B57=0,2/3,'財産集計（入力シート） '!I57)))</f>
        <v>0</v>
      </c>
      <c r="D399" s="345">
        <f>ROUNDDOWN(F385*C399,-3)</f>
        <v>0</v>
      </c>
      <c r="E399" s="260">
        <f t="shared" ref="E399:E407" si="28">IF(D399&lt;=10000000,D399*0.1,IF(D399&lt;=30000000,D399*0.15-500000,IF(D399&lt;=50000000,D399*0.2-2000000,IF(D399&lt;=100000000,D399*0.3-7000000,IF(D399&lt;=300000000,D399*0.4-17000000,D399*0.5-47000000)))))</f>
        <v>0</v>
      </c>
      <c r="F399" s="427">
        <f>IF(A399=0,0,IF('税額計算（出力シート） '!F9&gt;=1,2/3))</f>
        <v>0</v>
      </c>
      <c r="G399" s="205">
        <f>ROUNDDOWN(F386*F399,-3)</f>
        <v>0</v>
      </c>
      <c r="H399" s="260">
        <f>IF(G399&lt;=10000000,G399*0.1,IF(G399&lt;=30000000,G399*0.15-500000,IF(G399&lt;=50000000,G399*0.2-2000000,IF(G399&lt;=100000000,G399*0.3-7000000,IF(G399&lt;=300000000,G399*0.4-17000000,G399*0.5-47000000)))))</f>
        <v>0</v>
      </c>
    </row>
    <row r="400" spans="1:8" ht="15.95" customHeight="1">
      <c r="A400" s="425">
        <f>IF('財産集計（入力シート） '!E20+'財産集計（入力シート） '!E21=0,0,IF('税額計算（出力シート） '!F9=0,0,IF('財産集計（入力シート） '!B81=0,'税額計算（出力シート） '!L5,'財産集計（入力シート） '!B81)))</f>
        <v>0</v>
      </c>
      <c r="B400" s="416">
        <f>IF(A400=0,0,IF('財産集計（入力シート） '!B64=0,'税額計算（出力シート） '!F8,'財産集計（入力シート） '!D64))</f>
        <v>0</v>
      </c>
      <c r="C400" s="441">
        <f>IF(A400=0,0,IF('税額計算（出力シート） '!F9&gt;=1,IF('財産集計（入力シート） '!B64=0,1/3*1/'税額計算（出力シート） '!F9,'財産集計（入力シート） '!I64)))</f>
        <v>0</v>
      </c>
      <c r="D400" s="345">
        <f>ROUNDDOWN(F385*C400,-3)</f>
        <v>0</v>
      </c>
      <c r="E400" s="260">
        <f t="shared" si="28"/>
        <v>0</v>
      </c>
      <c r="F400" s="427">
        <f>IF(A400=0,0,IF('税額計算（出力シート） '!F9&gt;=1,1/3*1/'税額計算（出力シート） '!F9))</f>
        <v>0</v>
      </c>
      <c r="G400" s="205">
        <f>ROUNDDOWN(F386*F400,-3)</f>
        <v>0</v>
      </c>
      <c r="H400" s="260">
        <f>IF(G400&lt;=10000000,G400*0.1,IF(G400&lt;=30000000,G400*0.15-500000,IF(G400&lt;=50000000,G400*0.2-2000000,IF(G400&lt;=100000000,G400*0.3-7000000,IF(G400&lt;=300000000,G400*0.4-17000000,G400*0.5-47000000)))))</f>
        <v>0</v>
      </c>
    </row>
    <row r="401" spans="1:8" ht="15.95" customHeight="1" thickBot="1">
      <c r="A401" s="442">
        <f>IF('財産集計（入力シート） '!E20+'財産集計（入力シート） '!E21=0,0,IF('税額計算（出力シート） '!F9=0,0,IF('財産集計（入力シート） '!B65=0,'税額計算（出力シート） '!M5,'財産集計（入力シート） '!B65)))</f>
        <v>0</v>
      </c>
      <c r="B401" s="443">
        <f>IF(A401=0,0,IF('財産集計（入力シート） '!B65=0,'税額計算（出力シート） '!F8,'財産集計（入力シート） '!D65))</f>
        <v>0</v>
      </c>
      <c r="C401" s="444">
        <f>IF(A401=0,0,IF('税額計算（出力シート） '!F9&gt;=1,IF('財産集計（入力シート） '!B65=0,1/3*1/'税額計算（出力シート） '!F9,'財産集計（入力シート） '!I65)))</f>
        <v>0</v>
      </c>
      <c r="D401" s="394">
        <f>ROUNDDOWN(F385*C401,-3)</f>
        <v>0</v>
      </c>
      <c r="E401" s="302">
        <f t="shared" si="28"/>
        <v>0</v>
      </c>
      <c r="F401" s="433">
        <f>IF(A401=0,0,IF('税額計算（出力シート） '!F9&gt;=1,1/3*1/'税額計算（出力シート） '!F9))</f>
        <v>0</v>
      </c>
      <c r="G401" s="294">
        <f>ROUNDDOWN(F386*F401,-3)</f>
        <v>0</v>
      </c>
      <c r="H401" s="302">
        <f>IF(G401&lt;=10000000,G401*0.1,IF(G401&lt;=30000000,G401*0.15-500000,IF(G401&lt;=50000000,G401*0.2-2000000,IF(G401&lt;=100000000,G401*0.3-7000000,IF(G401&lt;=300000000,G401*0.4-17000000,G401*0.5-47000000)))))</f>
        <v>0</v>
      </c>
    </row>
    <row r="402" spans="1:8" ht="15.95" customHeight="1">
      <c r="A402" s="434" t="s">
        <v>352</v>
      </c>
      <c r="B402" s="445"/>
      <c r="C402" s="446"/>
      <c r="D402" s="447"/>
      <c r="E402" s="437"/>
      <c r="F402" s="438"/>
      <c r="G402" s="439"/>
      <c r="H402" s="437"/>
    </row>
    <row r="403" spans="1:8" ht="15.95" customHeight="1">
      <c r="A403" s="425">
        <f>IF('財産集計（入力シート） '!E20+'財産集計（入力シート） '!E21=0,0,IF('税額計算（出力シート） '!G9=0,0,IF('税額計算（出力シート） '!D9&gt;=1,IF('財産集計（入力シート） '!B57=0,'税額計算（出力シート） '!D5,'財産集計（入力シート） '!B57))))</f>
        <v>0</v>
      </c>
      <c r="B403" s="416">
        <f>IF(A403=0,0,IF('財産集計（入力シート） '!B57=0,'税額計算（出力シート） '!D8,'財産集計（入力シート） '!D57))</f>
        <v>0</v>
      </c>
      <c r="C403" s="441">
        <f>IF(A403=0,0,IF('税額計算（出力シート） '!G9&gt;=1,IF('財産集計（入力シート） '!B57=0,3/4,'財産集計（入力シート） '!I57)))</f>
        <v>0</v>
      </c>
      <c r="D403" s="345">
        <f>ROUNDDOWN(F385*C403,-3)</f>
        <v>0</v>
      </c>
      <c r="E403" s="260">
        <f t="shared" si="28"/>
        <v>0</v>
      </c>
      <c r="F403" s="427">
        <f>IF(A403=0,0,IF('税額計算（出力シート） '!G9&gt;=1,3/4))</f>
        <v>0</v>
      </c>
      <c r="G403" s="205">
        <f>ROUNDDOWN(F386*F403,-3)</f>
        <v>0</v>
      </c>
      <c r="H403" s="437">
        <f>IF(G403&lt;=10000000,G403*0.1,IF(G403&lt;=30000000,G403*0.15-500000,IF(G403&lt;=50000000,G403*0.2-2000000,IF(G403&lt;=100000000,G403*0.3-7000000,IF(G403&lt;=300000000,G403*0.4-17000000,G403*0.5-47000000)))))</f>
        <v>0</v>
      </c>
    </row>
    <row r="404" spans="1:8" ht="15.95" customHeight="1">
      <c r="A404" s="425">
        <f>IF('財産集計（入力シート） '!E20+'財産集計（入力シート） '!E21=0,0,IF('税額計算（出力シート） '!G9=0,0,IF('財産集計（入力シート） '!B66=0,'税額計算（出力シート） '!N5,'財産集計（入力シート） '!B66)))</f>
        <v>0</v>
      </c>
      <c r="B404" s="448">
        <f>IF(A404=0,0,IF('財産集計（入力シート） '!B66=0,'税額計算（出力シート） '!G8,'財産集計（入力シート） '!D66))</f>
        <v>0</v>
      </c>
      <c r="C404" s="441">
        <f>IF(A404=0,0,IF('税額計算（出力シート） '!G9&gt;=1,IF('財産集計（入力シート） '!B66=0,1/4*1/'税額計算（出力シート） '!G9,'財産集計（入力シート） '!I66)))</f>
        <v>0</v>
      </c>
      <c r="D404" s="345">
        <f>ROUNDDOWN(F385*C404,-3)</f>
        <v>0</v>
      </c>
      <c r="E404" s="260">
        <f t="shared" si="28"/>
        <v>0</v>
      </c>
      <c r="F404" s="427">
        <f>IF(A404=0,0,IF('税額計算（出力シート） '!G9&gt;=1,1/4*1/'税額計算（出力シート） '!G9))</f>
        <v>0</v>
      </c>
      <c r="G404" s="205">
        <f>ROUNDDOWN(F386*F404,-3)</f>
        <v>0</v>
      </c>
      <c r="H404" s="437">
        <f>IF(G404&lt;=10000000,G404*0.1,IF(G404&lt;=30000000,G404*0.15-500000,IF(G404&lt;=50000000,G404*0.2-2000000,IF(G404&lt;=100000000,G404*0.3-7000000,IF(G404&lt;=300000000,G404*0.4-17000000,G404*0.5-47000000)))))</f>
        <v>0</v>
      </c>
    </row>
    <row r="405" spans="1:8" ht="15.95" customHeight="1">
      <c r="A405" s="425">
        <f>IF('財産集計（入力シート） '!E20+'財産集計（入力シート） '!E21=0,0,IF('税額計算（出力シート） '!G9=0,0,IF('財産集計（入力シート） '!B67=0,'税額計算（出力シート） '!O5,'財産集計（入力シート） '!B67)))</f>
        <v>0</v>
      </c>
      <c r="B405" s="448">
        <f>IF(A405=0,0,IF('財産集計（入力シート） '!B67=0,'税額計算（出力シート） '!G8,'財産集計（入力シート） '!D67))</f>
        <v>0</v>
      </c>
      <c r="C405" s="441">
        <f>IF(A405=0,0,IF('税額計算（出力シート） '!G9&gt;=1,IF('財産集計（入力シート） '!B67=0,1/4*1/'税額計算（出力シート） '!G9,'財産集計（入力シート） '!I67)))</f>
        <v>0</v>
      </c>
      <c r="D405" s="345">
        <f>ROUNDDOWN(F385*C405,-3)</f>
        <v>0</v>
      </c>
      <c r="E405" s="260">
        <f t="shared" si="28"/>
        <v>0</v>
      </c>
      <c r="F405" s="427">
        <f>IF(A405=0,0,IF('税額計算（出力シート） '!G9&gt;=1,1/4*1/'税額計算（出力シート） '!G9))</f>
        <v>0</v>
      </c>
      <c r="G405" s="205">
        <f>ROUNDDOWN(F386*F405,-3)</f>
        <v>0</v>
      </c>
      <c r="H405" s="437">
        <f>IF(G405&lt;=10000000,G405*0.1,IF(G405&lt;=30000000,G405*0.15-500000,IF(G405&lt;=50000000,G405*0.2-2000000,IF(G405&lt;=100000000,G405*0.3-7000000,IF(G405&lt;=300000000,G405*0.4-17000000,G405*0.5-47000000)))))</f>
        <v>0</v>
      </c>
    </row>
    <row r="406" spans="1:8" ht="15.95" customHeight="1">
      <c r="A406" s="425">
        <f>IF('財産集計（入力シート） '!E20+'財産集計（入力シート） '!E21=0,0,IF('税額計算（出力シート） '!G9=0,0,IF('財産集計（入力シート） '!B68=0,'税額計算（出力シート） '!P5,'財産集計（入力シート） '!B68)))</f>
        <v>0</v>
      </c>
      <c r="B406" s="448">
        <f>IF(A406=0,0,IF('財産集計（入力シート） '!B68=0,'税額計算（出力シート） '!G8,'財産集計（入力シート） '!D68))</f>
        <v>0</v>
      </c>
      <c r="C406" s="441">
        <f>IF(A406=0,0,IF('税額計算（出力シート） '!G9&gt;=1,IF('財産集計（入力シート） '!B68=0,1/4*1/'税額計算（出力シート） '!G9,'財産集計（入力シート） '!D68)))</f>
        <v>0</v>
      </c>
      <c r="D406" s="345">
        <f>ROUNDDOWN(F385*C406,-3)</f>
        <v>0</v>
      </c>
      <c r="E406" s="260">
        <f t="shared" si="28"/>
        <v>0</v>
      </c>
      <c r="F406" s="427">
        <f>IF(A406=0,0,IF('税額計算（出力シート） '!G9&gt;=1,1/4*1/'税額計算（出力シート） '!G9))</f>
        <v>0</v>
      </c>
      <c r="G406" s="205">
        <f>ROUNDDOWN(F386*F406,-3)</f>
        <v>0</v>
      </c>
      <c r="H406" s="437">
        <f>IF(G406&lt;=10000000,G406*0.1,IF(G406&lt;=30000000,G406*0.15-500000,IF(G406&lt;=50000000,G406*0.2-2000000,IF(G406&lt;=100000000,G406*0.3-7000000,IF(G406&lt;=300000000,G406*0.4-17000000,G406*0.5-47000000)))))</f>
        <v>0</v>
      </c>
    </row>
    <row r="407" spans="1:8" ht="15.95" customHeight="1" thickBot="1">
      <c r="A407" s="449">
        <f>IF('財産集計（入力シート） '!E20+'財産集計（入力シート） '!E21=0,0,IF('税額計算（出力シート） '!G9=0,0,IF('財産集計（入力シート） '!B69=0,'税額計算（出力シート） '!Q5,'財産集計（入力シート） '!B69)))</f>
        <v>0</v>
      </c>
      <c r="B407" s="450">
        <f>IF(A407=0,0,IF('財産集計（入力シート） '!B69=0,'税額計算（出力シート） '!G8,'財産集計（入力シート） '!D69))</f>
        <v>0</v>
      </c>
      <c r="C407" s="451">
        <f>IF(A407=0,0,IF('税額計算（出力シート） '!G9&gt;=1,IF('財産集計（入力シート） '!B69=0,1/4*1/'税額計算（出力シート） '!G9,'財産集計（入力シート） '!I69)))</f>
        <v>0</v>
      </c>
      <c r="D407" s="394">
        <f>ROUNDDOWN(F385*C407,-3)</f>
        <v>0</v>
      </c>
      <c r="E407" s="302">
        <f t="shared" si="28"/>
        <v>0</v>
      </c>
      <c r="F407" s="427">
        <f>IF(A407=0,0,IF('税額計算（出力シート） '!G9&gt;=1,1/4*1/'税額計算（出力シート） '!G9))</f>
        <v>0</v>
      </c>
      <c r="G407" s="294">
        <f>ROUNDDOWN(F386*F407,-3)</f>
        <v>0</v>
      </c>
      <c r="H407" s="452">
        <f>IF(G407&lt;=10000000,G407*0.1,IF(G407&lt;=30000000,G407*0.15-500000,IF(G407&lt;=50000000,G407*0.2-2000000,IF(G407&lt;=100000000,G407*0.3-7000000,IF(G407&lt;=300000000,G407*0.4-17000000,G407*0.5-47000000)))))</f>
        <v>0</v>
      </c>
    </row>
    <row r="408" spans="1:8" ht="15.95" customHeight="1" thickBot="1">
      <c r="A408" s="331"/>
      <c r="B408" s="331"/>
      <c r="C408" s="624"/>
      <c r="D408" s="454" t="s">
        <v>467</v>
      </c>
      <c r="E408" s="455">
        <f>SUM(E390:E407)</f>
        <v>0</v>
      </c>
      <c r="F408" s="456" t="s">
        <v>468</v>
      </c>
      <c r="G408" s="624"/>
      <c r="H408" s="457">
        <f>SUM(H390:H407)</f>
        <v>0</v>
      </c>
    </row>
    <row r="409" spans="1:8" ht="15.95" customHeight="1">
      <c r="A409" s="331" t="s">
        <v>618</v>
      </c>
      <c r="B409" s="458"/>
      <c r="C409" s="332"/>
      <c r="D409" s="336"/>
      <c r="E409" s="336"/>
      <c r="F409" s="332"/>
      <c r="G409" s="295"/>
      <c r="H409" s="295"/>
    </row>
    <row r="410" spans="1:8" ht="15.95" customHeight="1" thickBot="1">
      <c r="A410" s="808" t="s">
        <v>447</v>
      </c>
      <c r="B410" s="808"/>
      <c r="C410" s="808"/>
      <c r="D410" s="295"/>
      <c r="E410" s="295"/>
      <c r="F410" s="295"/>
      <c r="G410" s="295"/>
    </row>
    <row r="411" spans="1:8" ht="15.95" customHeight="1">
      <c r="A411" s="884" t="s">
        <v>469</v>
      </c>
      <c r="B411" s="885"/>
      <c r="C411" s="885"/>
      <c r="D411" s="885"/>
      <c r="E411" s="885"/>
      <c r="F411" s="459">
        <f>IF('税額計算（出力シート） '!E7=0,0,('税額計算（出力シート） '!E39+'税額計算（出力シート） '!E41-'税額計算（出力シート） '!E32))</f>
        <v>0</v>
      </c>
      <c r="G411" s="295"/>
    </row>
    <row r="412" spans="1:8" ht="15.95" customHeight="1">
      <c r="A412" s="849" t="s">
        <v>470</v>
      </c>
      <c r="B412" s="850"/>
      <c r="C412" s="850"/>
      <c r="D412" s="850"/>
      <c r="E412" s="850"/>
      <c r="F412" s="460">
        <f>IF('税額計算（出力シート） '!E7&gt;0,ROUNDDOWN(E408*F381/(F381+F383),0),0)</f>
        <v>0</v>
      </c>
      <c r="G412" s="295"/>
    </row>
    <row r="413" spans="1:8" ht="15.95" customHeight="1">
      <c r="A413" s="849" t="s">
        <v>471</v>
      </c>
      <c r="B413" s="850"/>
      <c r="C413" s="850"/>
      <c r="D413" s="850"/>
      <c r="E413" s="850"/>
      <c r="F413" s="460"/>
      <c r="G413" s="295"/>
    </row>
    <row r="414" spans="1:8" ht="15.95" customHeight="1">
      <c r="A414" s="849" t="s">
        <v>472</v>
      </c>
      <c r="B414" s="850"/>
      <c r="C414" s="850"/>
      <c r="D414" s="850"/>
      <c r="E414" s="850"/>
      <c r="F414" s="460">
        <f>F412+F413</f>
        <v>0</v>
      </c>
      <c r="G414" s="295"/>
    </row>
    <row r="415" spans="1:8" ht="15.95" customHeight="1">
      <c r="A415" s="849" t="s">
        <v>473</v>
      </c>
      <c r="B415" s="850"/>
      <c r="C415" s="850"/>
      <c r="D415" s="850"/>
      <c r="E415" s="850"/>
      <c r="F415" s="460">
        <f>IF('税額計算（出力シート） '!E7&gt;0,ROUNDDOWN(H408*F382/(F382+F383),0),0)</f>
        <v>0</v>
      </c>
      <c r="G415" s="295"/>
    </row>
    <row r="416" spans="1:8" ht="15.95" customHeight="1">
      <c r="A416" s="849" t="s">
        <v>474</v>
      </c>
      <c r="B416" s="850"/>
      <c r="C416" s="850"/>
      <c r="D416" s="850"/>
      <c r="E416" s="850"/>
      <c r="F416" s="460"/>
      <c r="G416" s="295"/>
    </row>
    <row r="417" spans="1:8" ht="15.95" customHeight="1">
      <c r="A417" s="849" t="s">
        <v>475</v>
      </c>
      <c r="B417" s="850"/>
      <c r="C417" s="850"/>
      <c r="D417" s="850"/>
      <c r="E417" s="850"/>
      <c r="F417" s="460">
        <f>F415+F416</f>
        <v>0</v>
      </c>
      <c r="G417" s="295"/>
    </row>
    <row r="418" spans="1:8" ht="15.95" customHeight="1">
      <c r="A418" s="849" t="s">
        <v>476</v>
      </c>
      <c r="B418" s="850"/>
      <c r="C418" s="850"/>
      <c r="D418" s="850"/>
      <c r="E418" s="850"/>
      <c r="F418" s="260">
        <f>IF('税額計算（出力シート） '!E7&gt;0,'税額計算（出力シート） '!E30,0)</f>
        <v>0</v>
      </c>
      <c r="G418" s="295"/>
    </row>
    <row r="419" spans="1:8" ht="15.95" customHeight="1" thickBot="1">
      <c r="A419" s="849" t="s">
        <v>477</v>
      </c>
      <c r="B419" s="850"/>
      <c r="C419" s="850"/>
      <c r="D419" s="850"/>
      <c r="E419" s="850"/>
      <c r="F419" s="460">
        <f>IF((F411+F414-F417-F418)&lt;=0,0)</f>
        <v>0</v>
      </c>
      <c r="G419" s="295"/>
    </row>
    <row r="420" spans="1:8" ht="15.95" customHeight="1">
      <c r="A420" s="849" t="s">
        <v>478</v>
      </c>
      <c r="B420" s="850"/>
      <c r="C420" s="850"/>
      <c r="D420" s="850"/>
      <c r="E420" s="850"/>
      <c r="F420" s="460">
        <f>IF(F414-F417-F419&lt;0,0,F414-F417-F419)</f>
        <v>0</v>
      </c>
      <c r="G420" s="851" t="s">
        <v>484</v>
      </c>
      <c r="H420" s="852"/>
    </row>
    <row r="421" spans="1:8" ht="15.95" customHeight="1">
      <c r="A421" s="849" t="s">
        <v>479</v>
      </c>
      <c r="B421" s="850"/>
      <c r="C421" s="850"/>
      <c r="D421" s="850"/>
      <c r="E421" s="850"/>
      <c r="F421" s="460">
        <f>IF(F422+F423+F424=0,0,(F422+F423+A424))</f>
        <v>0</v>
      </c>
      <c r="G421" s="461" t="s">
        <v>485</v>
      </c>
      <c r="H421" s="462" t="s">
        <v>486</v>
      </c>
    </row>
    <row r="422" spans="1:8" ht="15.95" customHeight="1">
      <c r="A422" s="849" t="s">
        <v>480</v>
      </c>
      <c r="B422" s="850"/>
      <c r="C422" s="850"/>
      <c r="D422" s="850"/>
      <c r="E422" s="850"/>
      <c r="F422" s="460">
        <f>IF(H422&gt;0,ROUNDDOWN(H422/F411,-2),0)</f>
        <v>0</v>
      </c>
      <c r="G422" s="522" t="s">
        <v>487</v>
      </c>
      <c r="H422" s="523"/>
    </row>
    <row r="423" spans="1:8" ht="15.95" customHeight="1">
      <c r="A423" s="849" t="s">
        <v>481</v>
      </c>
      <c r="B423" s="850"/>
      <c r="C423" s="850"/>
      <c r="D423" s="850"/>
      <c r="E423" s="850"/>
      <c r="F423" s="460">
        <f>IF(H423&gt;0,ROUNDDOWN(H423/F411,-2),0)</f>
        <v>0</v>
      </c>
      <c r="G423" s="522" t="s">
        <v>488</v>
      </c>
      <c r="H423" s="523"/>
    </row>
    <row r="424" spans="1:8" ht="15.95" customHeight="1">
      <c r="A424" s="849" t="s">
        <v>483</v>
      </c>
      <c r="B424" s="850"/>
      <c r="C424" s="850"/>
      <c r="D424" s="850"/>
      <c r="E424" s="850"/>
      <c r="F424" s="460">
        <f>IF(H424&gt;0,ROUNDDOWN(H424/F411,-2),0)</f>
        <v>0</v>
      </c>
      <c r="G424" s="522" t="s">
        <v>222</v>
      </c>
      <c r="H424" s="523"/>
    </row>
    <row r="425" spans="1:8" ht="15.95" customHeight="1" thickBot="1">
      <c r="A425" s="862" t="s">
        <v>482</v>
      </c>
      <c r="B425" s="863"/>
      <c r="C425" s="863"/>
      <c r="D425" s="863"/>
      <c r="E425" s="863"/>
      <c r="F425" s="463">
        <f>IF(F422+F423+F424=0,F420,(F422+F423+F424))</f>
        <v>0</v>
      </c>
      <c r="G425" s="464" t="s">
        <v>223</v>
      </c>
      <c r="H425" s="465">
        <f>SUM(H422:H424)</f>
        <v>0</v>
      </c>
    </row>
    <row r="426" spans="1:8" ht="15.95" customHeight="1">
      <c r="A426" s="331"/>
      <c r="B426" s="331"/>
      <c r="C426" s="331"/>
      <c r="D426" s="331"/>
      <c r="E426" s="331"/>
      <c r="F426" s="466"/>
      <c r="G426" s="467"/>
      <c r="H426" s="333"/>
    </row>
    <row r="427" spans="1:8" ht="15.95" customHeight="1">
      <c r="A427" s="331"/>
      <c r="B427" s="331"/>
      <c r="C427" s="331"/>
      <c r="D427" s="331"/>
      <c r="E427" s="331"/>
      <c r="F427" s="466"/>
      <c r="G427" s="467"/>
      <c r="H427" s="333"/>
    </row>
    <row r="428" spans="1:8" ht="15.95" customHeight="1">
      <c r="A428" s="331"/>
      <c r="B428" s="331"/>
      <c r="C428" s="331"/>
      <c r="D428" s="331"/>
      <c r="E428" s="331"/>
      <c r="F428" s="466"/>
      <c r="G428" s="467"/>
      <c r="H428" s="333"/>
    </row>
    <row r="429" spans="1:8" ht="15.95" customHeight="1">
      <c r="A429" s="331"/>
      <c r="B429" s="331"/>
      <c r="C429" s="331"/>
      <c r="D429" s="331"/>
      <c r="E429" s="331"/>
      <c r="F429" s="466"/>
      <c r="G429" s="467"/>
      <c r="H429" s="333"/>
    </row>
    <row r="430" spans="1:8" ht="15.95" customHeight="1">
      <c r="A430" s="331"/>
      <c r="B430" s="331"/>
      <c r="C430" s="331"/>
      <c r="D430" s="331"/>
      <c r="E430" s="331"/>
      <c r="F430" s="466"/>
      <c r="G430" s="467"/>
      <c r="H430" s="333"/>
    </row>
    <row r="431" spans="1:8" ht="15.95" customHeight="1">
      <c r="A431" s="331"/>
      <c r="B431" s="331"/>
      <c r="C431" s="331"/>
      <c r="D431" s="331"/>
      <c r="E431" s="331"/>
      <c r="F431" s="466"/>
      <c r="G431" s="467"/>
      <c r="H431" s="333"/>
    </row>
    <row r="432" spans="1:8" ht="15.95" customHeight="1">
      <c r="A432" s="331"/>
      <c r="B432" s="331"/>
      <c r="C432" s="331"/>
      <c r="D432" s="331"/>
      <c r="E432" s="331"/>
      <c r="F432" s="466"/>
      <c r="G432" s="467"/>
      <c r="H432" s="333"/>
    </row>
    <row r="433" spans="1:8" ht="15.95" customHeight="1">
      <c r="A433" s="331"/>
      <c r="B433" s="331"/>
      <c r="C433" s="331"/>
      <c r="D433" s="331"/>
      <c r="E433" s="331"/>
      <c r="F433" s="466"/>
      <c r="G433" s="467"/>
      <c r="H433" s="333"/>
    </row>
    <row r="434" spans="1:8" ht="15.95" customHeight="1">
      <c r="A434" s="331"/>
      <c r="B434" s="331"/>
      <c r="C434" s="331"/>
      <c r="D434" s="331"/>
      <c r="E434" s="331"/>
      <c r="F434" s="466"/>
      <c r="G434" s="467"/>
      <c r="H434" s="333"/>
    </row>
    <row r="435" spans="1:8" ht="15.95" customHeight="1">
      <c r="A435" s="331"/>
      <c r="B435" s="331"/>
      <c r="C435" s="331"/>
      <c r="D435" s="331"/>
      <c r="E435" s="331"/>
      <c r="F435" s="466"/>
      <c r="G435" s="467"/>
      <c r="H435" s="333"/>
    </row>
    <row r="436" spans="1:8" ht="15.95" customHeight="1">
      <c r="A436" s="331"/>
      <c r="B436" s="331"/>
      <c r="C436" s="331"/>
      <c r="D436" s="331"/>
      <c r="E436" s="331"/>
      <c r="F436" s="466"/>
      <c r="G436" s="467"/>
      <c r="H436" s="333"/>
    </row>
    <row r="437" spans="1:8" ht="15.95" customHeight="1">
      <c r="A437" s="331"/>
      <c r="B437" s="331"/>
      <c r="C437" s="331"/>
      <c r="D437" s="331"/>
      <c r="E437" s="331"/>
      <c r="F437" s="466"/>
      <c r="G437" s="467"/>
      <c r="H437" s="333"/>
    </row>
    <row r="438" spans="1:8" ht="15.95" customHeight="1">
      <c r="A438" s="331"/>
      <c r="B438" s="331"/>
      <c r="C438" s="331"/>
      <c r="D438" s="331"/>
      <c r="E438" s="331"/>
      <c r="F438" s="466"/>
      <c r="G438" s="467"/>
      <c r="H438" s="333"/>
    </row>
    <row r="439" spans="1:8" ht="15.95" customHeight="1">
      <c r="A439" s="331"/>
      <c r="B439" s="331"/>
      <c r="C439" s="331"/>
      <c r="D439" s="331"/>
      <c r="E439" s="331"/>
      <c r="F439" s="466"/>
      <c r="G439" s="467"/>
      <c r="H439" s="333"/>
    </row>
    <row r="440" spans="1:8" ht="15.95" customHeight="1">
      <c r="A440" s="331"/>
      <c r="B440" s="331"/>
      <c r="C440" s="331"/>
      <c r="D440" s="331"/>
      <c r="E440" s="331"/>
      <c r="F440" s="466"/>
      <c r="G440" s="467"/>
      <c r="H440" s="333"/>
    </row>
    <row r="441" spans="1:8" ht="15.95" customHeight="1">
      <c r="A441" s="331"/>
      <c r="B441" s="331"/>
      <c r="C441" s="331"/>
      <c r="D441" s="331"/>
      <c r="E441" s="331"/>
      <c r="F441" s="466"/>
      <c r="G441" s="467"/>
      <c r="H441" s="333"/>
    </row>
    <row r="442" spans="1:8" ht="15.95" customHeight="1">
      <c r="A442" s="331"/>
      <c r="B442" s="331"/>
      <c r="C442" s="331"/>
      <c r="D442" s="331"/>
      <c r="E442" s="331"/>
      <c r="F442" s="295"/>
      <c r="G442" s="295"/>
    </row>
    <row r="443" spans="1:8" ht="15.95" customHeight="1">
      <c r="A443" s="331"/>
      <c r="B443" s="331"/>
      <c r="C443" s="331"/>
      <c r="D443" s="331"/>
      <c r="E443" s="331"/>
      <c r="F443" s="295"/>
      <c r="G443" s="295"/>
    </row>
    <row r="444" spans="1:8" ht="15.95" customHeight="1">
      <c r="A444" s="295"/>
      <c r="B444" s="295"/>
      <c r="C444" s="295"/>
      <c r="D444" s="295"/>
      <c r="E444" s="295"/>
      <c r="F444" s="295"/>
      <c r="G444" s="466"/>
    </row>
    <row r="446" spans="1:8" ht="15.95" customHeight="1">
      <c r="A446" s="282" t="s">
        <v>202</v>
      </c>
    </row>
    <row r="447" spans="1:8" ht="15.95" customHeight="1" thickBot="1"/>
    <row r="448" spans="1:8" ht="15.95" customHeight="1">
      <c r="A448" s="373" t="s">
        <v>304</v>
      </c>
      <c r="B448" s="413" t="str">
        <f>IF('財産集計（入力シート） '!I2=0,"",'財産集計（入力シート） '!I1)</f>
        <v/>
      </c>
    </row>
    <row r="449" spans="1:9" ht="15.95" customHeight="1" thickBot="1">
      <c r="A449" s="414" t="s">
        <v>441</v>
      </c>
      <c r="B449" s="415" t="str">
        <f>IF('財産集計（入力シート） '!I2=0,"",'財産集計（入力シート） '!I2)</f>
        <v/>
      </c>
    </row>
    <row r="451" spans="1:9" ht="15.95" customHeight="1">
      <c r="A451" s="505" t="s">
        <v>203</v>
      </c>
      <c r="B451" s="505"/>
      <c r="C451" s="505"/>
      <c r="D451" s="505"/>
      <c r="E451" s="505" t="s">
        <v>204</v>
      </c>
      <c r="F451" s="505"/>
      <c r="G451" s="505" t="s">
        <v>205</v>
      </c>
      <c r="H451" s="505"/>
      <c r="I451" s="505"/>
    </row>
    <row r="452" spans="1:9" ht="15.95" customHeight="1" thickBot="1">
      <c r="A452" s="505"/>
      <c r="B452" s="505"/>
      <c r="C452" s="505"/>
      <c r="D452" s="505"/>
      <c r="E452" s="505"/>
      <c r="F452" s="505"/>
      <c r="G452" s="505" t="s">
        <v>206</v>
      </c>
      <c r="H452" s="505"/>
      <c r="I452" s="505"/>
    </row>
    <row r="453" spans="1:9" ht="15.95" customHeight="1" thickBot="1">
      <c r="A453" s="524" t="s">
        <v>147</v>
      </c>
      <c r="B453" s="525"/>
      <c r="C453" s="525"/>
      <c r="D453" s="526"/>
      <c r="E453" s="524" t="s">
        <v>147</v>
      </c>
      <c r="F453" s="527"/>
      <c r="G453" s="505"/>
      <c r="H453" s="505"/>
      <c r="I453" s="505"/>
    </row>
    <row r="454" spans="1:9" ht="15.95" customHeight="1">
      <c r="A454" s="528" t="s">
        <v>448</v>
      </c>
      <c r="B454" s="529"/>
      <c r="C454" s="530" t="s">
        <v>453</v>
      </c>
      <c r="D454" s="531"/>
      <c r="E454" s="528" t="s">
        <v>668</v>
      </c>
      <c r="F454" s="532">
        <v>13500</v>
      </c>
      <c r="G454" s="524" t="s">
        <v>147</v>
      </c>
      <c r="H454" s="533"/>
      <c r="I454" s="505"/>
    </row>
    <row r="455" spans="1:9" ht="15.95" customHeight="1">
      <c r="A455" s="528" t="s">
        <v>449</v>
      </c>
      <c r="B455" s="529"/>
      <c r="C455" s="625" t="s">
        <v>672</v>
      </c>
      <c r="D455" s="853"/>
      <c r="E455" s="528" t="s">
        <v>669</v>
      </c>
      <c r="F455" s="532">
        <v>10000</v>
      </c>
      <c r="G455" s="528" t="s">
        <v>457</v>
      </c>
      <c r="H455" s="260">
        <f>ROUNDDOWN(F454*2/3,0)</f>
        <v>9000</v>
      </c>
      <c r="I455" s="505"/>
    </row>
    <row r="456" spans="1:9" ht="15.95" customHeight="1">
      <c r="A456" s="528" t="s">
        <v>450</v>
      </c>
      <c r="B456" s="529"/>
      <c r="C456" s="626" t="s">
        <v>673</v>
      </c>
      <c r="D456" s="854"/>
      <c r="E456" s="528" t="s">
        <v>670</v>
      </c>
      <c r="F456" s="532">
        <v>9000</v>
      </c>
      <c r="G456" s="528" t="s">
        <v>458</v>
      </c>
      <c r="H456" s="532">
        <v>0</v>
      </c>
      <c r="I456" s="505"/>
    </row>
    <row r="457" spans="1:9" ht="15.95" customHeight="1">
      <c r="A457" s="528" t="s">
        <v>451</v>
      </c>
      <c r="B457" s="529"/>
      <c r="C457" s="530" t="s">
        <v>454</v>
      </c>
      <c r="D457" s="534"/>
      <c r="E457" s="528" t="s">
        <v>671</v>
      </c>
      <c r="F457" s="532">
        <v>10000</v>
      </c>
      <c r="G457" s="528" t="s">
        <v>674</v>
      </c>
      <c r="H457" s="260">
        <f>IF(H456&gt;H455,0,H455-H456)</f>
        <v>9000</v>
      </c>
      <c r="I457" s="505"/>
    </row>
    <row r="458" spans="1:9" ht="15.95" customHeight="1" thickBot="1">
      <c r="A458" s="535" t="s">
        <v>452</v>
      </c>
      <c r="B458" s="536"/>
      <c r="C458" s="537" t="s">
        <v>455</v>
      </c>
      <c r="D458" s="538"/>
      <c r="E458" s="535" t="s">
        <v>456</v>
      </c>
      <c r="F458" s="302">
        <f>F456*F457</f>
        <v>90000000</v>
      </c>
      <c r="G458" s="535" t="s">
        <v>675</v>
      </c>
      <c r="H458" s="302">
        <f>IF(F455=0,0,IF(F455&gt;H457,H457))</f>
        <v>9000</v>
      </c>
      <c r="I458" s="505"/>
    </row>
    <row r="459" spans="1:9" ht="15.95" customHeight="1">
      <c r="A459" s="504"/>
      <c r="B459" s="539"/>
      <c r="C459" s="504"/>
      <c r="D459" s="505"/>
      <c r="E459" s="505"/>
      <c r="F459" s="505"/>
      <c r="G459" s="505"/>
      <c r="H459" s="505"/>
      <c r="I459" s="505"/>
    </row>
    <row r="460" spans="1:9" ht="15.95" customHeight="1">
      <c r="A460" s="504"/>
      <c r="B460" s="539"/>
      <c r="C460" s="504"/>
      <c r="D460" s="505"/>
      <c r="E460" s="505"/>
      <c r="F460" s="505"/>
      <c r="G460" s="505"/>
      <c r="H460" s="505"/>
      <c r="I460" s="505"/>
    </row>
    <row r="461" spans="1:9" ht="15.95" customHeight="1">
      <c r="A461" s="504"/>
      <c r="B461" s="539"/>
      <c r="C461" s="504"/>
      <c r="D461" s="505"/>
      <c r="E461" s="505"/>
      <c r="F461" s="505"/>
      <c r="G461" s="505"/>
      <c r="H461" s="505"/>
      <c r="I461" s="505"/>
    </row>
    <row r="462" spans="1:9" ht="15.95" customHeight="1">
      <c r="A462" s="505"/>
      <c r="B462" s="505"/>
      <c r="C462" s="505"/>
      <c r="D462" s="505"/>
      <c r="E462" s="505"/>
      <c r="F462" s="505"/>
      <c r="G462" s="505"/>
      <c r="H462" s="505"/>
      <c r="I462" s="505"/>
    </row>
    <row r="463" spans="1:9" ht="15.95" customHeight="1">
      <c r="A463" s="505" t="s">
        <v>207</v>
      </c>
      <c r="B463" s="505"/>
      <c r="C463" s="505"/>
      <c r="D463" s="505"/>
      <c r="E463" s="505"/>
      <c r="F463" s="505"/>
      <c r="G463" s="505"/>
      <c r="H463" s="505"/>
      <c r="I463" s="505"/>
    </row>
    <row r="464" spans="1:9" ht="15.95" customHeight="1" thickBot="1">
      <c r="A464" s="505"/>
      <c r="B464" s="505"/>
      <c r="C464" s="505"/>
      <c r="D464" s="505"/>
      <c r="E464" s="505"/>
      <c r="F464" s="505"/>
      <c r="G464" s="505"/>
      <c r="H464" s="505"/>
      <c r="I464" s="505"/>
    </row>
    <row r="465" spans="1:9" ht="15.95" customHeight="1">
      <c r="A465" s="540" t="s">
        <v>208</v>
      </c>
      <c r="B465" s="541" t="s">
        <v>209</v>
      </c>
      <c r="C465" s="541" t="s">
        <v>210</v>
      </c>
      <c r="D465" s="541" t="s">
        <v>211</v>
      </c>
      <c r="E465" s="541" t="s">
        <v>212</v>
      </c>
      <c r="F465" s="541" t="s">
        <v>213</v>
      </c>
      <c r="G465" s="541" t="s">
        <v>214</v>
      </c>
      <c r="H465" s="857" t="s">
        <v>215</v>
      </c>
      <c r="I465" s="858"/>
    </row>
    <row r="466" spans="1:9" ht="15.95" customHeight="1">
      <c r="A466" s="542"/>
      <c r="B466" s="502"/>
      <c r="C466" s="502"/>
      <c r="D466" s="502"/>
      <c r="E466" s="502"/>
      <c r="F466" s="502"/>
      <c r="G466" s="502"/>
      <c r="H466" s="845"/>
      <c r="I466" s="846"/>
    </row>
    <row r="467" spans="1:9" ht="15.95" customHeight="1">
      <c r="A467" s="542"/>
      <c r="B467" s="502"/>
      <c r="C467" s="502"/>
      <c r="D467" s="502"/>
      <c r="E467" s="502"/>
      <c r="F467" s="502"/>
      <c r="G467" s="502"/>
      <c r="H467" s="845"/>
      <c r="I467" s="846"/>
    </row>
    <row r="468" spans="1:9" ht="15.95" customHeight="1" thickBot="1">
      <c r="A468" s="542"/>
      <c r="B468" s="502"/>
      <c r="C468" s="502"/>
      <c r="D468" s="502"/>
      <c r="E468" s="502"/>
      <c r="F468" s="502"/>
      <c r="G468" s="502"/>
      <c r="H468" s="847"/>
      <c r="I468" s="848"/>
    </row>
    <row r="469" spans="1:9" ht="15.95" customHeight="1">
      <c r="A469" s="543" t="s">
        <v>216</v>
      </c>
      <c r="B469" s="544"/>
      <c r="C469" s="544"/>
      <c r="D469" s="544"/>
      <c r="E469" s="544"/>
      <c r="F469" s="545"/>
      <c r="G469" s="546"/>
      <c r="H469" s="505"/>
      <c r="I469" s="505"/>
    </row>
    <row r="470" spans="1:9" ht="15.95" customHeight="1">
      <c r="A470" s="543" t="s">
        <v>217</v>
      </c>
      <c r="B470" s="544"/>
      <c r="C470" s="544"/>
      <c r="D470" s="544"/>
      <c r="E470" s="544"/>
      <c r="F470" s="545"/>
      <c r="G470" s="546"/>
      <c r="H470" s="505"/>
      <c r="I470" s="505"/>
    </row>
    <row r="471" spans="1:9" ht="15.95" customHeight="1" thickBot="1">
      <c r="A471" s="547" t="s">
        <v>218</v>
      </c>
      <c r="B471" s="548"/>
      <c r="C471" s="548"/>
      <c r="D471" s="548"/>
      <c r="E471" s="548"/>
      <c r="F471" s="549"/>
      <c r="G471" s="550"/>
      <c r="H471" s="505"/>
      <c r="I471" s="505"/>
    </row>
    <row r="483" spans="1:9" ht="15.95" customHeight="1">
      <c r="A483" s="282" t="s">
        <v>219</v>
      </c>
    </row>
    <row r="485" spans="1:9" ht="15.95" customHeight="1">
      <c r="A485" s="505" t="s">
        <v>203</v>
      </c>
      <c r="B485" s="505"/>
      <c r="C485" s="505"/>
      <c r="D485" s="505" t="s">
        <v>204</v>
      </c>
      <c r="E485" s="505"/>
      <c r="F485" s="505"/>
      <c r="G485" s="505"/>
      <c r="H485" s="505"/>
      <c r="I485" s="505"/>
    </row>
    <row r="486" spans="1:9" ht="15.95" customHeight="1">
      <c r="A486" s="505"/>
      <c r="B486" s="505"/>
      <c r="C486" s="505"/>
      <c r="D486" s="505"/>
      <c r="E486" s="505"/>
      <c r="F486" s="505"/>
      <c r="G486" s="505"/>
      <c r="H486" s="505"/>
      <c r="I486" s="505"/>
    </row>
    <row r="487" spans="1:9" ht="15.95" customHeight="1">
      <c r="A487" s="502" t="s">
        <v>147</v>
      </c>
      <c r="B487" s="516"/>
      <c r="C487" s="505"/>
      <c r="D487" s="502" t="s">
        <v>147</v>
      </c>
      <c r="E487" s="516">
        <v>1</v>
      </c>
      <c r="F487" s="516">
        <v>2</v>
      </c>
      <c r="G487" s="516">
        <v>3</v>
      </c>
      <c r="H487" s="516">
        <v>4</v>
      </c>
      <c r="I487" s="516">
        <v>5</v>
      </c>
    </row>
    <row r="488" spans="1:9" ht="15.95" customHeight="1">
      <c r="A488" s="502">
        <v>1</v>
      </c>
      <c r="B488" s="502"/>
      <c r="C488" s="505"/>
      <c r="D488" s="502" t="s">
        <v>220</v>
      </c>
      <c r="E488" s="503"/>
      <c r="F488" s="502"/>
      <c r="G488" s="502"/>
      <c r="H488" s="502"/>
      <c r="I488" s="502"/>
    </row>
    <row r="489" spans="1:9" ht="15.95" customHeight="1">
      <c r="A489" s="502">
        <v>2</v>
      </c>
      <c r="B489" s="502"/>
      <c r="C489" s="505"/>
      <c r="D489" s="502" t="s">
        <v>220</v>
      </c>
      <c r="E489" s="503"/>
      <c r="F489" s="502"/>
      <c r="G489" s="502"/>
      <c r="H489" s="502"/>
      <c r="I489" s="502"/>
    </row>
    <row r="490" spans="1:9" ht="15.95" customHeight="1">
      <c r="A490" s="502">
        <v>3</v>
      </c>
      <c r="B490" s="502"/>
      <c r="C490" s="505"/>
      <c r="D490" s="502" t="s">
        <v>221</v>
      </c>
      <c r="E490" s="503"/>
      <c r="F490" s="502"/>
      <c r="G490" s="502"/>
      <c r="H490" s="502"/>
      <c r="I490" s="502"/>
    </row>
    <row r="491" spans="1:9" ht="15.95" customHeight="1">
      <c r="A491" s="502">
        <v>4</v>
      </c>
      <c r="B491" s="502"/>
      <c r="C491" s="505"/>
      <c r="D491" s="502" t="s">
        <v>221</v>
      </c>
      <c r="E491" s="503"/>
      <c r="F491" s="502"/>
      <c r="G491" s="502"/>
      <c r="H491" s="502"/>
      <c r="I491" s="502"/>
    </row>
    <row r="492" spans="1:9" ht="15.95" customHeight="1">
      <c r="A492" s="502">
        <v>5</v>
      </c>
      <c r="B492" s="502"/>
      <c r="C492" s="505"/>
      <c r="D492" s="502" t="s">
        <v>222</v>
      </c>
      <c r="E492" s="502"/>
      <c r="F492" s="503"/>
      <c r="G492" s="502"/>
      <c r="H492" s="502"/>
      <c r="I492" s="502"/>
    </row>
    <row r="493" spans="1:9" ht="15.95" customHeight="1">
      <c r="A493" s="502">
        <v>6</v>
      </c>
      <c r="B493" s="502"/>
      <c r="C493" s="505"/>
      <c r="D493" s="502"/>
      <c r="E493" s="502" t="s">
        <v>223</v>
      </c>
      <c r="F493" s="502"/>
      <c r="G493" s="502"/>
      <c r="H493" s="503"/>
      <c r="I493" s="502"/>
    </row>
    <row r="494" spans="1:9" ht="15.95" customHeight="1">
      <c r="A494" s="502">
        <v>7</v>
      </c>
      <c r="B494" s="502"/>
      <c r="C494" s="505"/>
      <c r="D494" s="505"/>
      <c r="E494" s="505"/>
      <c r="F494" s="505"/>
      <c r="G494" s="505"/>
      <c r="H494" s="505"/>
      <c r="I494" s="505"/>
    </row>
    <row r="495" spans="1:9" ht="15.95" customHeight="1">
      <c r="A495" s="502">
        <v>8</v>
      </c>
      <c r="B495" s="502"/>
      <c r="C495" s="502"/>
      <c r="D495" s="505"/>
      <c r="E495" s="505"/>
      <c r="F495" s="505"/>
      <c r="G495" s="505"/>
      <c r="H495" s="505"/>
      <c r="I495" s="505"/>
    </row>
    <row r="496" spans="1:9" ht="15.95" customHeight="1">
      <c r="A496" s="505"/>
      <c r="B496" s="505"/>
      <c r="C496" s="505"/>
      <c r="D496" s="505"/>
      <c r="E496" s="505"/>
      <c r="F496" s="505"/>
      <c r="G496" s="505"/>
      <c r="H496" s="505"/>
      <c r="I496" s="505"/>
    </row>
    <row r="497" spans="1:9" ht="15.95" customHeight="1">
      <c r="A497" s="505" t="s">
        <v>205</v>
      </c>
      <c r="B497" s="505"/>
      <c r="C497" s="505"/>
      <c r="D497" s="505"/>
      <c r="E497" s="505"/>
      <c r="F497" s="505"/>
      <c r="G497" s="505"/>
      <c r="H497" s="505"/>
      <c r="I497" s="505"/>
    </row>
    <row r="498" spans="1:9" ht="15.95" customHeight="1">
      <c r="A498" s="505" t="s">
        <v>206</v>
      </c>
      <c r="B498" s="505"/>
      <c r="C498" s="505"/>
      <c r="D498" s="505"/>
      <c r="E498" s="505"/>
      <c r="F498" s="505"/>
      <c r="G498" s="505"/>
      <c r="H498" s="505"/>
      <c r="I498" s="505"/>
    </row>
    <row r="499" spans="1:9" ht="15.95" customHeight="1">
      <c r="A499" s="505"/>
      <c r="B499" s="505"/>
      <c r="C499" s="505"/>
      <c r="D499" s="505"/>
      <c r="E499" s="505"/>
      <c r="F499" s="505"/>
      <c r="G499" s="505"/>
      <c r="H499" s="505"/>
      <c r="I499" s="505"/>
    </row>
    <row r="500" spans="1:9" ht="15.95" customHeight="1">
      <c r="A500" s="502" t="s">
        <v>147</v>
      </c>
      <c r="B500" s="516"/>
      <c r="C500" s="505"/>
      <c r="D500" s="505"/>
      <c r="E500" s="505"/>
      <c r="F500" s="505"/>
      <c r="G500" s="505"/>
      <c r="H500" s="505"/>
      <c r="I500" s="505"/>
    </row>
    <row r="501" spans="1:9" ht="15.95" customHeight="1">
      <c r="A501" s="502">
        <v>1</v>
      </c>
      <c r="B501" s="502"/>
      <c r="C501" s="505"/>
      <c r="D501" s="505"/>
      <c r="E501" s="505"/>
      <c r="F501" s="505"/>
      <c r="G501" s="505"/>
      <c r="H501" s="505"/>
      <c r="I501" s="505"/>
    </row>
    <row r="502" spans="1:9" ht="15.95" customHeight="1">
      <c r="A502" s="502">
        <v>2</v>
      </c>
      <c r="B502" s="502"/>
      <c r="C502" s="505"/>
      <c r="D502" s="505"/>
      <c r="E502" s="505"/>
      <c r="F502" s="505"/>
      <c r="G502" s="505"/>
      <c r="H502" s="505"/>
      <c r="I502" s="505"/>
    </row>
    <row r="503" spans="1:9" ht="15.95" customHeight="1">
      <c r="A503" s="502">
        <v>3</v>
      </c>
      <c r="B503" s="502"/>
      <c r="C503" s="505"/>
      <c r="D503" s="505"/>
      <c r="E503" s="505"/>
      <c r="F503" s="505"/>
      <c r="G503" s="505"/>
      <c r="H503" s="505"/>
      <c r="I503" s="505"/>
    </row>
    <row r="504" spans="1:9" ht="15.95" customHeight="1">
      <c r="A504" s="502">
        <v>4</v>
      </c>
      <c r="B504" s="502"/>
      <c r="C504" s="505"/>
      <c r="D504" s="505"/>
      <c r="E504" s="505"/>
      <c r="F504" s="505"/>
      <c r="G504" s="505"/>
      <c r="H504" s="505"/>
      <c r="I504" s="505"/>
    </row>
    <row r="505" spans="1:9" ht="15.95" customHeight="1">
      <c r="A505" s="505"/>
      <c r="B505" s="505"/>
      <c r="C505" s="505"/>
      <c r="D505" s="505"/>
      <c r="E505" s="505"/>
      <c r="F505" s="505"/>
      <c r="G505" s="505"/>
      <c r="H505" s="505"/>
      <c r="I505" s="505"/>
    </row>
    <row r="506" spans="1:9" ht="15.95" customHeight="1">
      <c r="A506" s="505" t="s">
        <v>207</v>
      </c>
      <c r="B506" s="505"/>
      <c r="C506" s="505"/>
      <c r="D506" s="505"/>
      <c r="E506" s="505"/>
      <c r="F506" s="505"/>
      <c r="G506" s="505"/>
      <c r="H506" s="505"/>
      <c r="I506" s="505"/>
    </row>
    <row r="507" spans="1:9" ht="15.95" customHeight="1">
      <c r="A507" s="505"/>
      <c r="B507" s="505"/>
      <c r="C507" s="505"/>
      <c r="D507" s="505"/>
      <c r="E507" s="505"/>
      <c r="F507" s="505"/>
      <c r="G507" s="505"/>
      <c r="H507" s="505"/>
      <c r="I507" s="505"/>
    </row>
    <row r="508" spans="1:9" ht="15.95" customHeight="1">
      <c r="A508" s="502" t="s">
        <v>208</v>
      </c>
      <c r="B508" s="502" t="s">
        <v>209</v>
      </c>
      <c r="C508" s="502" t="s">
        <v>210</v>
      </c>
      <c r="D508" s="502" t="s">
        <v>211</v>
      </c>
      <c r="E508" s="502" t="s">
        <v>212</v>
      </c>
      <c r="F508" s="502" t="s">
        <v>213</v>
      </c>
      <c r="G508" s="502" t="s">
        <v>214</v>
      </c>
      <c r="H508" s="843" t="s">
        <v>215</v>
      </c>
      <c r="I508" s="844"/>
    </row>
    <row r="509" spans="1:9" ht="15.95" customHeight="1">
      <c r="A509" s="502"/>
      <c r="B509" s="502"/>
      <c r="C509" s="502"/>
      <c r="D509" s="502"/>
      <c r="E509" s="502"/>
      <c r="F509" s="502"/>
      <c r="G509" s="502"/>
      <c r="H509" s="843"/>
      <c r="I509" s="844"/>
    </row>
    <row r="510" spans="1:9" ht="15.95" customHeight="1">
      <c r="A510" s="502"/>
      <c r="B510" s="502"/>
      <c r="C510" s="502"/>
      <c r="D510" s="502"/>
      <c r="E510" s="502"/>
      <c r="F510" s="502"/>
      <c r="G510" s="502"/>
      <c r="H510" s="843"/>
      <c r="I510" s="844"/>
    </row>
    <row r="511" spans="1:9" ht="15.95" customHeight="1">
      <c r="A511" s="502"/>
      <c r="B511" s="502"/>
      <c r="C511" s="502"/>
      <c r="D511" s="502"/>
      <c r="E511" s="502"/>
      <c r="F511" s="502"/>
      <c r="G511" s="502"/>
      <c r="H511" s="843"/>
      <c r="I511" s="844"/>
    </row>
    <row r="512" spans="1:9" ht="15.95" customHeight="1">
      <c r="A512" s="551" t="s">
        <v>216</v>
      </c>
      <c r="B512" s="544"/>
      <c r="C512" s="544"/>
      <c r="D512" s="544"/>
      <c r="E512" s="544"/>
      <c r="F512" s="545"/>
      <c r="G512" s="502"/>
      <c r="H512" s="505"/>
      <c r="I512" s="505"/>
    </row>
    <row r="513" spans="1:9" ht="15.95" customHeight="1">
      <c r="A513" s="551" t="s">
        <v>217</v>
      </c>
      <c r="B513" s="544"/>
      <c r="C513" s="544"/>
      <c r="D513" s="544"/>
      <c r="E513" s="544"/>
      <c r="F513" s="545"/>
      <c r="G513" s="502"/>
      <c r="H513" s="505"/>
      <c r="I513" s="505"/>
    </row>
    <row r="514" spans="1:9" ht="15.95" customHeight="1">
      <c r="A514" s="551" t="s">
        <v>218</v>
      </c>
      <c r="B514" s="544"/>
      <c r="C514" s="544"/>
      <c r="D514" s="544"/>
      <c r="E514" s="544"/>
      <c r="F514" s="545"/>
      <c r="G514" s="502"/>
      <c r="H514" s="505"/>
      <c r="I514" s="505"/>
    </row>
    <row r="515" spans="1:9" ht="15.95" customHeight="1">
      <c r="A515" s="505"/>
      <c r="B515" s="505"/>
      <c r="C515" s="505"/>
      <c r="D515" s="505"/>
      <c r="E515" s="505"/>
      <c r="F515" s="505"/>
      <c r="G515" s="505"/>
      <c r="H515" s="505"/>
      <c r="I515" s="505"/>
    </row>
    <row r="520" spans="1:9" ht="15.95" customHeight="1">
      <c r="A520" s="505" t="s">
        <v>224</v>
      </c>
      <c r="B520" s="505"/>
      <c r="C520" s="505"/>
      <c r="D520" s="505"/>
      <c r="E520" s="505"/>
      <c r="F520" s="505"/>
      <c r="G520" s="505"/>
      <c r="H520" s="505"/>
      <c r="I520" s="505"/>
    </row>
    <row r="521" spans="1:9" ht="15.95" customHeight="1">
      <c r="A521" s="505"/>
      <c r="B521" s="505"/>
      <c r="C521" s="505"/>
      <c r="D521" s="505"/>
      <c r="E521" s="505"/>
      <c r="F521" s="505"/>
      <c r="G521" s="505"/>
      <c r="H521" s="505"/>
      <c r="I521" s="505"/>
    </row>
    <row r="522" spans="1:9" ht="15.95" customHeight="1">
      <c r="A522" s="505" t="s">
        <v>203</v>
      </c>
      <c r="B522" s="505"/>
      <c r="C522" s="505"/>
      <c r="D522" s="505"/>
      <c r="E522" s="505" t="s">
        <v>204</v>
      </c>
      <c r="F522" s="505"/>
      <c r="G522" s="505"/>
      <c r="H522" s="505" t="s">
        <v>205</v>
      </c>
      <c r="I522" s="505"/>
    </row>
    <row r="523" spans="1:9" ht="15.95" customHeight="1">
      <c r="A523" s="505"/>
      <c r="B523" s="505"/>
      <c r="C523" s="505"/>
      <c r="D523" s="505"/>
      <c r="E523" s="505"/>
      <c r="F523" s="505"/>
      <c r="G523" s="505"/>
      <c r="H523" s="505" t="s">
        <v>206</v>
      </c>
      <c r="I523" s="505"/>
    </row>
    <row r="524" spans="1:9" ht="15.95" customHeight="1">
      <c r="A524" s="502" t="s">
        <v>147</v>
      </c>
      <c r="B524" s="516"/>
      <c r="C524" s="505"/>
      <c r="D524" s="505"/>
      <c r="E524" s="502" t="s">
        <v>147</v>
      </c>
      <c r="F524" s="516"/>
      <c r="G524" s="505"/>
      <c r="H524" s="505"/>
      <c r="I524" s="505"/>
    </row>
    <row r="525" spans="1:9" ht="15.95" customHeight="1">
      <c r="A525" s="502">
        <v>1</v>
      </c>
      <c r="B525" s="502"/>
      <c r="C525" s="505"/>
      <c r="D525" s="505"/>
      <c r="E525" s="502">
        <v>1</v>
      </c>
      <c r="F525" s="502"/>
      <c r="G525" s="505"/>
      <c r="H525" s="502" t="s">
        <v>147</v>
      </c>
      <c r="I525" s="516"/>
    </row>
    <row r="526" spans="1:9" ht="15.95" customHeight="1">
      <c r="A526" s="502">
        <v>2</v>
      </c>
      <c r="B526" s="502"/>
      <c r="C526" s="505"/>
      <c r="D526" s="505"/>
      <c r="E526" s="502">
        <v>2</v>
      </c>
      <c r="F526" s="502"/>
      <c r="G526" s="505"/>
      <c r="H526" s="502">
        <v>1</v>
      </c>
      <c r="I526" s="502"/>
    </row>
    <row r="527" spans="1:9" ht="15.95" customHeight="1">
      <c r="A527" s="502">
        <v>3</v>
      </c>
      <c r="B527" s="502"/>
      <c r="C527" s="505"/>
      <c r="D527" s="505"/>
      <c r="E527" s="502">
        <v>3</v>
      </c>
      <c r="F527" s="502"/>
      <c r="G527" s="505"/>
      <c r="H527" s="502">
        <v>2</v>
      </c>
      <c r="I527" s="502"/>
    </row>
    <row r="528" spans="1:9" ht="15.95" customHeight="1">
      <c r="A528" s="502">
        <v>4</v>
      </c>
      <c r="B528" s="502"/>
      <c r="C528" s="505"/>
      <c r="D528" s="505"/>
      <c r="E528" s="502">
        <v>4</v>
      </c>
      <c r="F528" s="502"/>
      <c r="G528" s="505"/>
      <c r="H528" s="502">
        <v>3</v>
      </c>
      <c r="I528" s="502"/>
    </row>
    <row r="529" spans="1:9" ht="15.95" customHeight="1">
      <c r="A529" s="502">
        <v>5</v>
      </c>
      <c r="B529" s="502"/>
      <c r="C529" s="505"/>
      <c r="D529" s="505"/>
      <c r="E529" s="502">
        <v>5</v>
      </c>
      <c r="F529" s="502"/>
      <c r="G529" s="505"/>
      <c r="H529" s="502">
        <v>4</v>
      </c>
      <c r="I529" s="502"/>
    </row>
    <row r="530" spans="1:9" ht="15.95" customHeight="1">
      <c r="A530" s="502">
        <v>6</v>
      </c>
      <c r="B530" s="502"/>
      <c r="C530" s="505"/>
      <c r="D530" s="505"/>
      <c r="E530" s="505"/>
      <c r="F530" s="505"/>
      <c r="G530" s="505"/>
      <c r="H530" s="505"/>
      <c r="I530" s="505"/>
    </row>
    <row r="531" spans="1:9" ht="15.95" customHeight="1">
      <c r="A531" s="502">
        <v>7</v>
      </c>
      <c r="B531" s="502"/>
      <c r="C531" s="505"/>
      <c r="D531" s="505"/>
      <c r="E531" s="505"/>
      <c r="F531" s="505"/>
      <c r="G531" s="505"/>
      <c r="H531" s="505"/>
      <c r="I531" s="505"/>
    </row>
    <row r="532" spans="1:9" ht="15.95" customHeight="1">
      <c r="A532" s="502">
        <v>8</v>
      </c>
      <c r="B532" s="502"/>
      <c r="C532" s="502"/>
      <c r="D532" s="505"/>
      <c r="E532" s="505"/>
      <c r="F532" s="505"/>
      <c r="G532" s="505"/>
      <c r="H532" s="505"/>
      <c r="I532" s="505"/>
    </row>
    <row r="533" spans="1:9" ht="15.95" customHeight="1">
      <c r="A533" s="505"/>
      <c r="B533" s="505"/>
      <c r="C533" s="505"/>
      <c r="D533" s="505"/>
      <c r="E533" s="505"/>
      <c r="F533" s="505"/>
      <c r="G533" s="505"/>
      <c r="H533" s="505"/>
      <c r="I533" s="505"/>
    </row>
    <row r="557" spans="1:10" ht="15.95" customHeight="1">
      <c r="A557" s="505" t="s">
        <v>225</v>
      </c>
      <c r="B557" s="505"/>
      <c r="C557" s="505"/>
      <c r="D557" s="505"/>
      <c r="E557" s="505"/>
      <c r="F557" s="552" t="s">
        <v>234</v>
      </c>
      <c r="G557" s="505"/>
      <c r="H557" s="505"/>
      <c r="I557" s="505"/>
      <c r="J557" s="505"/>
    </row>
    <row r="558" spans="1:10" ht="15.95" customHeight="1">
      <c r="A558" s="505"/>
      <c r="B558" s="505"/>
      <c r="C558" s="505"/>
      <c r="D558" s="505"/>
      <c r="E558" s="505"/>
      <c r="F558" s="552"/>
      <c r="G558" s="505"/>
      <c r="H558" s="505"/>
      <c r="I558" s="505"/>
      <c r="J558" s="505"/>
    </row>
    <row r="559" spans="1:10" ht="15.95" customHeight="1">
      <c r="A559" s="505" t="s">
        <v>226</v>
      </c>
      <c r="B559" s="505"/>
      <c r="C559" s="505"/>
      <c r="D559" s="505"/>
      <c r="E559" s="505"/>
      <c r="F559" s="552" t="s">
        <v>235</v>
      </c>
      <c r="G559" s="505"/>
      <c r="H559" s="505"/>
      <c r="I559" s="505"/>
      <c r="J559" s="505"/>
    </row>
    <row r="560" spans="1:10" ht="15.95" customHeight="1">
      <c r="A560" s="505"/>
      <c r="B560" s="505"/>
      <c r="C560" s="505"/>
      <c r="D560" s="505"/>
      <c r="E560" s="505"/>
      <c r="F560" s="552"/>
      <c r="G560" s="505"/>
      <c r="H560" s="505"/>
      <c r="I560" s="505"/>
      <c r="J560" s="505"/>
    </row>
    <row r="561" spans="1:10" ht="15.95" customHeight="1">
      <c r="A561" s="502" t="s">
        <v>227</v>
      </c>
      <c r="B561" s="502" t="s">
        <v>228</v>
      </c>
      <c r="C561" s="502" t="s">
        <v>229</v>
      </c>
      <c r="D561" s="502" t="s">
        <v>230</v>
      </c>
      <c r="E561" s="551"/>
      <c r="F561" s="553" t="s">
        <v>227</v>
      </c>
      <c r="G561" s="502" t="s">
        <v>228</v>
      </c>
      <c r="H561" s="502" t="s">
        <v>229</v>
      </c>
      <c r="I561" s="502" t="s">
        <v>230</v>
      </c>
      <c r="J561" s="502"/>
    </row>
    <row r="562" spans="1:10" ht="15.95" customHeight="1">
      <c r="A562" s="502"/>
      <c r="B562" s="502"/>
      <c r="C562" s="502"/>
      <c r="D562" s="502"/>
      <c r="E562" s="551"/>
      <c r="F562" s="553"/>
      <c r="G562" s="502"/>
      <c r="H562" s="502"/>
      <c r="I562" s="502"/>
      <c r="J562" s="502"/>
    </row>
    <row r="563" spans="1:10" ht="15.95" customHeight="1">
      <c r="A563" s="502"/>
      <c r="B563" s="502"/>
      <c r="C563" s="502"/>
      <c r="D563" s="502"/>
      <c r="E563" s="551"/>
      <c r="F563" s="553"/>
      <c r="G563" s="502"/>
      <c r="H563" s="502"/>
      <c r="I563" s="502"/>
      <c r="J563" s="502"/>
    </row>
    <row r="564" spans="1:10" ht="15.95" customHeight="1">
      <c r="A564" s="502"/>
      <c r="B564" s="502"/>
      <c r="C564" s="502"/>
      <c r="D564" s="502"/>
      <c r="E564" s="551"/>
      <c r="F564" s="553"/>
      <c r="G564" s="502"/>
      <c r="H564" s="502"/>
      <c r="I564" s="502"/>
      <c r="J564" s="502"/>
    </row>
    <row r="565" spans="1:10" ht="15.95" customHeight="1">
      <c r="A565" s="502"/>
      <c r="B565" s="502"/>
      <c r="C565" s="502"/>
      <c r="D565" s="502"/>
      <c r="E565" s="551"/>
      <c r="F565" s="553"/>
      <c r="G565" s="502"/>
      <c r="H565" s="502"/>
      <c r="I565" s="502"/>
      <c r="J565" s="502"/>
    </row>
    <row r="566" spans="1:10" ht="15.95" customHeight="1">
      <c r="A566" s="502"/>
      <c r="B566" s="502"/>
      <c r="C566" s="502"/>
      <c r="D566" s="502"/>
      <c r="E566" s="551"/>
      <c r="F566" s="553"/>
      <c r="G566" s="502"/>
      <c r="H566" s="502"/>
      <c r="I566" s="502"/>
      <c r="J566" s="502"/>
    </row>
    <row r="567" spans="1:10" ht="15.95" customHeight="1">
      <c r="A567" s="505"/>
      <c r="B567" s="505"/>
      <c r="C567" s="505"/>
      <c r="D567" s="505"/>
      <c r="E567" s="505"/>
      <c r="F567" s="552"/>
      <c r="G567" s="505"/>
      <c r="H567" s="505"/>
      <c r="I567" s="505"/>
      <c r="J567" s="505"/>
    </row>
    <row r="568" spans="1:10" ht="15.95" customHeight="1">
      <c r="A568" s="505" t="s">
        <v>231</v>
      </c>
      <c r="B568" s="505"/>
      <c r="C568" s="505"/>
      <c r="D568" s="505"/>
      <c r="E568" s="505"/>
      <c r="F568" s="552" t="s">
        <v>231</v>
      </c>
      <c r="G568" s="505"/>
      <c r="H568" s="505"/>
      <c r="I568" s="505"/>
      <c r="J568" s="505"/>
    </row>
    <row r="569" spans="1:10" ht="15.95" customHeight="1">
      <c r="A569" s="505"/>
      <c r="B569" s="505"/>
      <c r="C569" s="505"/>
      <c r="D569" s="505"/>
      <c r="E569" s="505"/>
      <c r="F569" s="552"/>
      <c r="G569" s="505"/>
      <c r="H569" s="505"/>
      <c r="I569" s="505"/>
      <c r="J569" s="505"/>
    </row>
    <row r="570" spans="1:10" ht="15.95" customHeight="1">
      <c r="A570" s="502"/>
      <c r="B570" s="505" t="s">
        <v>232</v>
      </c>
      <c r="C570" s="505"/>
      <c r="D570" s="505" t="s">
        <v>175</v>
      </c>
      <c r="E570" s="551"/>
      <c r="F570" s="553"/>
      <c r="G570" s="505" t="s">
        <v>232</v>
      </c>
      <c r="H570" s="505"/>
      <c r="I570" s="505" t="s">
        <v>175</v>
      </c>
      <c r="J570" s="502"/>
    </row>
    <row r="571" spans="1:10" ht="15.95" customHeight="1">
      <c r="A571" s="505"/>
      <c r="B571" s="505"/>
      <c r="C571" s="505"/>
      <c r="D571" s="505"/>
      <c r="E571" s="505"/>
      <c r="F571" s="552"/>
      <c r="G571" s="505"/>
      <c r="H571" s="505"/>
      <c r="I571" s="505"/>
      <c r="J571" s="505"/>
    </row>
    <row r="572" spans="1:10" ht="15.95" customHeight="1">
      <c r="A572" s="502" t="s">
        <v>233</v>
      </c>
      <c r="B572" s="502">
        <v>1</v>
      </c>
      <c r="C572" s="502">
        <v>2</v>
      </c>
      <c r="D572" s="502">
        <v>3</v>
      </c>
      <c r="E572" s="505"/>
      <c r="F572" s="553" t="s">
        <v>233</v>
      </c>
      <c r="G572" s="502">
        <v>1</v>
      </c>
      <c r="H572" s="502">
        <v>2</v>
      </c>
      <c r="I572" s="502">
        <v>3</v>
      </c>
      <c r="J572" s="505"/>
    </row>
    <row r="573" spans="1:10" ht="15.95" customHeight="1">
      <c r="A573" s="502"/>
      <c r="B573" s="502"/>
      <c r="C573" s="502"/>
      <c r="D573" s="502"/>
      <c r="E573" s="505"/>
      <c r="F573" s="553"/>
      <c r="G573" s="502"/>
      <c r="H573" s="502"/>
      <c r="I573" s="502"/>
      <c r="J573" s="505"/>
    </row>
    <row r="574" spans="1:10" ht="15.95" customHeight="1">
      <c r="A574" s="502"/>
      <c r="B574" s="502"/>
      <c r="C574" s="502"/>
      <c r="D574" s="502"/>
      <c r="E574" s="505"/>
      <c r="F574" s="553"/>
      <c r="G574" s="502"/>
      <c r="H574" s="502"/>
      <c r="I574" s="502"/>
      <c r="J574" s="505"/>
    </row>
    <row r="575" spans="1:10" ht="15.95" customHeight="1">
      <c r="A575" s="502"/>
      <c r="B575" s="502"/>
      <c r="C575" s="502"/>
      <c r="D575" s="502"/>
      <c r="E575" s="505"/>
      <c r="F575" s="553"/>
      <c r="G575" s="502"/>
      <c r="H575" s="502"/>
      <c r="I575" s="502"/>
      <c r="J575" s="505"/>
    </row>
    <row r="576" spans="1:10" ht="15.95" customHeight="1">
      <c r="A576" s="502"/>
      <c r="B576" s="502"/>
      <c r="C576" s="502"/>
      <c r="D576" s="502"/>
      <c r="E576" s="505"/>
      <c r="F576" s="553"/>
      <c r="G576" s="502"/>
      <c r="H576" s="502"/>
      <c r="I576" s="502"/>
      <c r="J576" s="505"/>
    </row>
    <row r="577" spans="1:10" ht="15.95" customHeight="1">
      <c r="A577" s="502"/>
      <c r="B577" s="502"/>
      <c r="C577" s="502"/>
      <c r="D577" s="502"/>
      <c r="E577" s="505"/>
      <c r="F577" s="553"/>
      <c r="G577" s="502"/>
      <c r="H577" s="502"/>
      <c r="I577" s="502"/>
      <c r="J577" s="505"/>
    </row>
    <row r="578" spans="1:10" ht="15.95" customHeight="1">
      <c r="A578" s="502" t="s">
        <v>223</v>
      </c>
      <c r="B578" s="502"/>
      <c r="C578" s="502"/>
      <c r="D578" s="502"/>
      <c r="E578" s="505"/>
      <c r="F578" s="553" t="s">
        <v>223</v>
      </c>
      <c r="G578" s="502"/>
      <c r="H578" s="502"/>
      <c r="I578" s="502"/>
      <c r="J578" s="505"/>
    </row>
    <row r="579" spans="1:10" ht="15.95" customHeight="1">
      <c r="A579" s="505"/>
      <c r="B579" s="505"/>
      <c r="C579" s="505"/>
      <c r="D579" s="505"/>
      <c r="E579" s="505"/>
      <c r="F579" s="552"/>
      <c r="G579" s="505"/>
      <c r="H579" s="505"/>
      <c r="I579" s="505"/>
      <c r="J579" s="505"/>
    </row>
    <row r="580" spans="1:10" ht="15.95" customHeight="1">
      <c r="A580" s="505"/>
      <c r="B580" s="505"/>
      <c r="C580" s="505"/>
      <c r="D580" s="505"/>
      <c r="E580" s="505"/>
      <c r="F580" s="552"/>
      <c r="G580" s="505"/>
      <c r="H580" s="505"/>
      <c r="I580" s="505"/>
      <c r="J580" s="505"/>
    </row>
    <row r="581" spans="1:10" ht="15.95" customHeight="1">
      <c r="A581" s="505"/>
      <c r="B581" s="505"/>
      <c r="C581" s="505"/>
      <c r="D581" s="505"/>
      <c r="E581" s="505"/>
      <c r="F581" s="552"/>
      <c r="G581" s="505"/>
      <c r="H581" s="505"/>
      <c r="I581" s="505"/>
      <c r="J581" s="505"/>
    </row>
    <row r="582" spans="1:10" ht="15.95" customHeight="1">
      <c r="F582" s="468"/>
    </row>
    <row r="583" spans="1:10" ht="15.95" customHeight="1">
      <c r="F583" s="468"/>
    </row>
    <row r="584" spans="1:10" ht="15.95" customHeight="1">
      <c r="F584" s="468"/>
    </row>
    <row r="585" spans="1:10" ht="15.95" customHeight="1">
      <c r="F585" s="468"/>
    </row>
    <row r="586" spans="1:10" ht="15.95" customHeight="1">
      <c r="F586" s="468"/>
    </row>
    <row r="587" spans="1:10" ht="15.95" customHeight="1">
      <c r="F587" s="468"/>
    </row>
    <row r="588" spans="1:10" ht="15.95" customHeight="1">
      <c r="F588" s="468"/>
    </row>
    <row r="589" spans="1:10" ht="15.95" customHeight="1">
      <c r="F589" s="468"/>
    </row>
    <row r="590" spans="1:10" ht="15.95" customHeight="1">
      <c r="F590" s="468"/>
    </row>
    <row r="591" spans="1:10" ht="15.95" customHeight="1">
      <c r="F591" s="468"/>
    </row>
    <row r="592" spans="1:10" ht="15.95" customHeight="1">
      <c r="F592" s="468"/>
    </row>
    <row r="593" spans="1:9" ht="15.95" customHeight="1">
      <c r="F593" s="468"/>
    </row>
    <row r="594" spans="1:9" ht="15.95" customHeight="1">
      <c r="A594" s="282" t="s">
        <v>330</v>
      </c>
    </row>
    <row r="596" spans="1:9" ht="15.95" customHeight="1">
      <c r="A596" s="795" t="s">
        <v>236</v>
      </c>
      <c r="B596" s="301" t="s">
        <v>237</v>
      </c>
      <c r="C596" s="469" t="str">
        <f>'財産集計（入力シート） '!N2</f>
        <v>全部分割</v>
      </c>
      <c r="D596" s="469" t="str">
        <f>'財産集計（入力シート） '!O2</f>
        <v>一部分割</v>
      </c>
      <c r="E596" s="301">
        <v>3</v>
      </c>
    </row>
    <row r="597" spans="1:9" ht="15.95" customHeight="1">
      <c r="A597" s="796"/>
      <c r="B597" s="301" t="s">
        <v>238</v>
      </c>
      <c r="C597" s="337" t="str">
        <f>'財産集計（入力シート） '!N3</f>
        <v>平成20.12.26.</v>
      </c>
      <c r="D597" s="337" t="str">
        <f>IF('財産集計（入力シート） '!O3=0,"",'財産集計（入力シート） '!O3)</f>
        <v/>
      </c>
      <c r="E597" s="346"/>
    </row>
    <row r="599" spans="1:9" ht="15.95" customHeight="1">
      <c r="A599" s="793" t="s">
        <v>239</v>
      </c>
      <c r="B599" s="793"/>
      <c r="C599" s="793"/>
      <c r="D599" s="793"/>
      <c r="E599" s="793"/>
      <c r="F599" s="793"/>
      <c r="G599" s="793"/>
      <c r="H599" s="793" t="s">
        <v>240</v>
      </c>
      <c r="I599" s="793"/>
    </row>
    <row r="600" spans="1:9" ht="12.6" customHeight="1">
      <c r="A600" s="793" t="s">
        <v>209</v>
      </c>
      <c r="B600" s="793" t="s">
        <v>210</v>
      </c>
      <c r="C600" s="793" t="s">
        <v>241</v>
      </c>
      <c r="D600" s="793" t="s">
        <v>212</v>
      </c>
      <c r="E600" s="301" t="s">
        <v>213</v>
      </c>
      <c r="F600" s="301" t="s">
        <v>242</v>
      </c>
      <c r="G600" s="793" t="s">
        <v>255</v>
      </c>
      <c r="H600" s="793" t="s">
        <v>243</v>
      </c>
      <c r="I600" s="793" t="s">
        <v>327</v>
      </c>
    </row>
    <row r="601" spans="1:9" ht="12.6" customHeight="1">
      <c r="A601" s="793"/>
      <c r="B601" s="793"/>
      <c r="C601" s="793"/>
      <c r="D601" s="793"/>
      <c r="E601" s="301" t="s">
        <v>244</v>
      </c>
      <c r="F601" s="301" t="s">
        <v>245</v>
      </c>
      <c r="G601" s="793"/>
      <c r="H601" s="793"/>
      <c r="I601" s="793"/>
    </row>
    <row r="602" spans="1:9" ht="12.75" customHeight="1">
      <c r="A602" s="795"/>
      <c r="B602" s="794" t="str">
        <f>'財産集計（入力シート） '!B8</f>
        <v>田</v>
      </c>
      <c r="C602" s="795"/>
      <c r="D602" s="795"/>
      <c r="E602" s="301"/>
      <c r="F602" s="301"/>
      <c r="G602" s="801">
        <f>'財産集計（入力シート） '!R8</f>
        <v>0</v>
      </c>
      <c r="H602" s="795" t="str">
        <f>IF('財産集計（入力シート） '!D7=0,"",'財産集計（入力シート） '!D7)</f>
        <v>小林洋子</v>
      </c>
      <c r="I602" s="799">
        <f>IF('財産集計（入力シート） '!D47=0,"",'財産集計（入力シート） '!D47)</f>
        <v>399804624</v>
      </c>
    </row>
    <row r="603" spans="1:9" ht="12.75" customHeight="1">
      <c r="A603" s="796"/>
      <c r="B603" s="794"/>
      <c r="C603" s="796"/>
      <c r="D603" s="796"/>
      <c r="E603" s="301"/>
      <c r="F603" s="301"/>
      <c r="G603" s="802"/>
      <c r="H603" s="796"/>
      <c r="I603" s="800"/>
    </row>
    <row r="604" spans="1:9" ht="12.75" customHeight="1">
      <c r="A604" s="795"/>
      <c r="B604" s="794" t="str">
        <f>'財産集計（入力シート） '!B9</f>
        <v>畑その他農地</v>
      </c>
      <c r="C604" s="795"/>
      <c r="D604" s="795"/>
      <c r="E604" s="301"/>
      <c r="F604" s="301"/>
      <c r="G604" s="801">
        <f>'財産集計（入力シート） '!R9</f>
        <v>0</v>
      </c>
      <c r="H604" s="795" t="str">
        <f>IF('財産集計（入力シート） '!E7=0,"",'財産集計（入力シート） '!E7)</f>
        <v>小林智子</v>
      </c>
      <c r="I604" s="799">
        <f>IF('財産集計（入力シート） '!E47=0,"",'財産集計（入力シート） '!E47)</f>
        <v>163000000</v>
      </c>
    </row>
    <row r="605" spans="1:9" ht="12.75" customHeight="1">
      <c r="A605" s="796"/>
      <c r="B605" s="794"/>
      <c r="C605" s="796"/>
      <c r="D605" s="796"/>
      <c r="E605" s="301"/>
      <c r="F605" s="301"/>
      <c r="G605" s="802"/>
      <c r="H605" s="796"/>
      <c r="I605" s="800"/>
    </row>
    <row r="606" spans="1:9" ht="12.75" customHeight="1">
      <c r="A606" s="795"/>
      <c r="B606" s="794" t="str">
        <f>'財産集計（入力シート） '!B10</f>
        <v>山林</v>
      </c>
      <c r="C606" s="795"/>
      <c r="D606" s="795"/>
      <c r="E606" s="301"/>
      <c r="F606" s="301"/>
      <c r="G606" s="801">
        <f>'財産集計（入力シート） '!R10+'財産集計（入力シート） '!R11</f>
        <v>0</v>
      </c>
      <c r="H606" s="894" t="str">
        <f>IF('財産集計（入力シート） '!F7=0,"",'財産集計（入力シート） '!F7)</f>
        <v>小林尊琉</v>
      </c>
      <c r="I606" s="799">
        <f>IF('財産集計（入力シート） '!F47=0,"",'財産集計（入力シート） '!F47)</f>
        <v>357193757</v>
      </c>
    </row>
    <row r="607" spans="1:9" ht="12.75" customHeight="1">
      <c r="A607" s="796"/>
      <c r="B607" s="794"/>
      <c r="C607" s="796"/>
      <c r="D607" s="796"/>
      <c r="E607" s="301"/>
      <c r="F607" s="301"/>
      <c r="G607" s="802"/>
      <c r="H607" s="796"/>
      <c r="I607" s="800"/>
    </row>
    <row r="608" spans="1:9" ht="12.75" customHeight="1">
      <c r="A608" s="793"/>
      <c r="B608" s="794" t="str">
        <f>'財産集計（入力シート） '!B12</f>
        <v>特例対象宅地等</v>
      </c>
      <c r="C608" s="793"/>
      <c r="D608" s="793"/>
      <c r="E608" s="301"/>
      <c r="F608" s="301"/>
      <c r="G608" s="801">
        <f>'財産集計（入力シート） '!R12+'財産集計（入力シート） '!R13</f>
        <v>31933833</v>
      </c>
      <c r="H608" s="786" t="str">
        <f>IF('財産集計（入力シート） '!G7=0,"",'財産集計（入力シート） '!G7)</f>
        <v>小林二郎</v>
      </c>
      <c r="I608" s="799">
        <f>IF('財産集計（入力シート） '!G47=0,"",'財産集計（入力シート） '!G47)</f>
        <v>288260174</v>
      </c>
    </row>
    <row r="609" spans="1:9" ht="12.6" customHeight="1">
      <c r="A609" s="793"/>
      <c r="B609" s="794"/>
      <c r="C609" s="793"/>
      <c r="D609" s="793"/>
      <c r="E609" s="301"/>
      <c r="F609" s="301"/>
      <c r="G609" s="802"/>
      <c r="H609" s="787"/>
      <c r="I609" s="800"/>
    </row>
    <row r="610" spans="1:9" ht="12.6" customHeight="1">
      <c r="A610" s="793"/>
      <c r="B610" s="794" t="str">
        <f>'財産集計（入力シート） '!B14</f>
        <v>特例事業用資産等</v>
      </c>
      <c r="C610" s="793"/>
      <c r="D610" s="793"/>
      <c r="E610" s="301"/>
      <c r="F610" s="301"/>
      <c r="G610" s="801">
        <f>'財産集計（入力シート） '!R14+'財産集計（入力シート） '!R15</f>
        <v>0</v>
      </c>
      <c r="H610" s="786" t="str">
        <f>IF('財産集計（入力シート） '!H7=0,"",'財産集計（入力シート） '!H7)</f>
        <v>佐藤英理</v>
      </c>
      <c r="I610" s="799">
        <f>IF('財産集計（入力シート） '!H47=0,"",'財産集計（入力シート） '!H47)</f>
        <v>73995419</v>
      </c>
    </row>
    <row r="611" spans="1:9" ht="12.6" customHeight="1">
      <c r="A611" s="793"/>
      <c r="B611" s="794"/>
      <c r="C611" s="793"/>
      <c r="D611" s="793"/>
      <c r="E611" s="301"/>
      <c r="F611" s="301"/>
      <c r="G611" s="802"/>
      <c r="H611" s="787"/>
      <c r="I611" s="800"/>
    </row>
    <row r="612" spans="1:9" ht="12.6" customHeight="1">
      <c r="A612" s="793"/>
      <c r="B612" s="794" t="str">
        <f>'財産集計（入力シート） '!B16</f>
        <v>一般土地等</v>
      </c>
      <c r="C612" s="793"/>
      <c r="D612" s="793"/>
      <c r="E612" s="301"/>
      <c r="F612" s="301"/>
      <c r="G612" s="801">
        <f>'財産集計（入力シート） '!R16+'財産集計（入力シート） '!R17</f>
        <v>1265198933</v>
      </c>
      <c r="H612" s="895" t="str">
        <f>IF('財産集計（入力シート） '!I7=0,"",'財産集計（入力シート） '!I7)</f>
        <v>小林　円</v>
      </c>
      <c r="I612" s="799">
        <f>IF('財産集計（入力シート） '!I47=0,"",'財産集計（入力シート） '!I47)</f>
        <v>167654985</v>
      </c>
    </row>
    <row r="613" spans="1:9" ht="12.6" customHeight="1">
      <c r="A613" s="793"/>
      <c r="B613" s="794"/>
      <c r="C613" s="793"/>
      <c r="D613" s="793"/>
      <c r="E613" s="301"/>
      <c r="F613" s="301"/>
      <c r="G613" s="802"/>
      <c r="H613" s="787"/>
      <c r="I613" s="800"/>
    </row>
    <row r="614" spans="1:9" ht="12.6" customHeight="1">
      <c r="A614" s="793"/>
      <c r="B614" s="794" t="str">
        <f>'財産集計（入力シート） '!B18</f>
        <v>家屋・構築物</v>
      </c>
      <c r="C614" s="793"/>
      <c r="D614" s="793"/>
      <c r="E614" s="301"/>
      <c r="F614" s="301"/>
      <c r="G614" s="801">
        <f>'財産集計（入力シート） '!R18+'財産集計（入力シート） '!R19</f>
        <v>14042637</v>
      </c>
      <c r="H614" s="786" t="str">
        <f>IF('財産集計（入力シート） '!J7=0,"",'財産集計（入力シート） '!J7)</f>
        <v/>
      </c>
      <c r="I614" s="799" t="str">
        <f>IF('財産集計（入力シート） '!J47=0,"",'財産集計（入力シート） '!J47)</f>
        <v/>
      </c>
    </row>
    <row r="615" spans="1:9" ht="12.6" customHeight="1">
      <c r="A615" s="793"/>
      <c r="B615" s="794"/>
      <c r="C615" s="793"/>
      <c r="D615" s="793"/>
      <c r="E615" s="301"/>
      <c r="F615" s="301"/>
      <c r="G615" s="802"/>
      <c r="H615" s="787"/>
      <c r="I615" s="800"/>
    </row>
    <row r="616" spans="1:9" ht="12.6" customHeight="1">
      <c r="A616" s="793"/>
      <c r="B616" s="794" t="str">
        <f>'財産集計（入力シート） '!B20</f>
        <v>特例非上場株式</v>
      </c>
      <c r="C616" s="793"/>
      <c r="D616" s="793"/>
      <c r="E616" s="301"/>
      <c r="F616" s="301"/>
      <c r="G616" s="801">
        <f>'財産集計（入力シート） '!R20+'財産集計（入力シート） '!R21</f>
        <v>0</v>
      </c>
      <c r="H616" s="786" t="str">
        <f>IF('財産集計（入力シート） '!K7=0,"",'財産集計（入力シート） '!K7)</f>
        <v/>
      </c>
      <c r="I616" s="799" t="str">
        <f>IF('財産集計（入力シート） '!K47=0,"",'財産集計（入力シート） '!K47)</f>
        <v/>
      </c>
    </row>
    <row r="617" spans="1:9" ht="12.6" customHeight="1">
      <c r="A617" s="793"/>
      <c r="B617" s="794"/>
      <c r="C617" s="793"/>
      <c r="D617" s="793"/>
      <c r="E617" s="301"/>
      <c r="F617" s="301"/>
      <c r="G617" s="802"/>
      <c r="H617" s="787"/>
      <c r="I617" s="800"/>
    </row>
    <row r="618" spans="1:9" ht="12.6" customHeight="1">
      <c r="A618" s="793"/>
      <c r="B618" s="794" t="str">
        <f>'財産集計（入力シート） '!B22</f>
        <v>有　価　証　券</v>
      </c>
      <c r="C618" s="793"/>
      <c r="D618" s="793"/>
      <c r="E618" s="301"/>
      <c r="F618" s="301"/>
      <c r="G618" s="801">
        <f>'財産集計（入力シート） '!R22+'財産集計（入力シート） '!R23</f>
        <v>10443177</v>
      </c>
      <c r="H618" s="786" t="str">
        <f>IF('財産集計（入力シート） '!L7=0,"",'財産集計（入力シート） '!L7)</f>
        <v/>
      </c>
      <c r="I618" s="799" t="str">
        <f>IF('財産集計（入力シート） '!L47=0,"",'財産集計（入力シート） '!L47)</f>
        <v/>
      </c>
    </row>
    <row r="619" spans="1:9" ht="12.6" customHeight="1">
      <c r="A619" s="793"/>
      <c r="B619" s="794"/>
      <c r="C619" s="793"/>
      <c r="D619" s="793"/>
      <c r="E619" s="301"/>
      <c r="F619" s="301"/>
      <c r="G619" s="802"/>
      <c r="H619" s="787"/>
      <c r="I619" s="800"/>
    </row>
    <row r="620" spans="1:9" ht="12.6" customHeight="1">
      <c r="A620" s="793"/>
      <c r="B620" s="794" t="str">
        <f>'財産集計（入力シート） '!B24</f>
        <v>現金預貯金等</v>
      </c>
      <c r="C620" s="793"/>
      <c r="D620" s="793"/>
      <c r="E620" s="301"/>
      <c r="F620" s="301"/>
      <c r="G620" s="801">
        <f>'財産集計（入力シート） '!R24+'財産集計（入力シート） '!R25</f>
        <v>45905983</v>
      </c>
      <c r="H620" s="786" t="str">
        <f>IF('財産集計（入力シート） '!M7=0,"",'財産集計（入力シート） '!M7)</f>
        <v/>
      </c>
      <c r="I620" s="799" t="str">
        <f>IF('財産集計（入力シート） '!M47=0,"",'財産集計（入力シート） '!M47)</f>
        <v/>
      </c>
    </row>
    <row r="621" spans="1:9" ht="12.6" customHeight="1">
      <c r="A621" s="793"/>
      <c r="B621" s="794"/>
      <c r="C621" s="793"/>
      <c r="D621" s="793"/>
      <c r="E621" s="301"/>
      <c r="F621" s="301"/>
      <c r="G621" s="802"/>
      <c r="H621" s="787"/>
      <c r="I621" s="800"/>
    </row>
    <row r="622" spans="1:9" ht="12.6" customHeight="1">
      <c r="A622" s="793"/>
      <c r="B622" s="794" t="str">
        <f>'財産集計（入力シート） '!B26</f>
        <v>家庭用財産</v>
      </c>
      <c r="C622" s="793"/>
      <c r="D622" s="793"/>
      <c r="E622" s="301"/>
      <c r="F622" s="301"/>
      <c r="G622" s="801">
        <f>'財産集計（入力シート） '!R26+'財産集計（入力シート） '!R27</f>
        <v>310000</v>
      </c>
      <c r="H622" s="786" t="str">
        <f>IF('財産集計（入力シート） '!N7=0,"",'財産集計（入力シート） '!N7)</f>
        <v/>
      </c>
      <c r="I622" s="799" t="str">
        <f>IF('財産集計（入力シート） '!N47=0,"",'財産集計（入力シート） '!N47)</f>
        <v/>
      </c>
    </row>
    <row r="623" spans="1:9" ht="12.6" customHeight="1">
      <c r="A623" s="793"/>
      <c r="B623" s="794"/>
      <c r="C623" s="793"/>
      <c r="D623" s="793"/>
      <c r="E623" s="301"/>
      <c r="F623" s="301"/>
      <c r="G623" s="802"/>
      <c r="H623" s="787"/>
      <c r="I623" s="800"/>
    </row>
    <row r="624" spans="1:9" ht="12.6" customHeight="1">
      <c r="A624" s="793"/>
      <c r="B624" s="794" t="str">
        <f>'財産集計（入力シート） '!B28</f>
        <v>生命保険金・退職金</v>
      </c>
      <c r="C624" s="793"/>
      <c r="D624" s="793"/>
      <c r="E624" s="301"/>
      <c r="F624" s="301"/>
      <c r="G624" s="801">
        <f>'財産集計（入力シート） '!R28+'財産集計（入力シート） '!R29</f>
        <v>0</v>
      </c>
      <c r="H624" s="786" t="str">
        <f>IF('財産集計（入力シート） '!O7=0,"",'財産集計（入力シート） '!O7)</f>
        <v/>
      </c>
      <c r="I624" s="799" t="str">
        <f>IF('財産集計（入力シート） '!O47=0,"",'財産集計（入力シート） '!O47)</f>
        <v/>
      </c>
    </row>
    <row r="625" spans="1:9" ht="12.6" customHeight="1">
      <c r="A625" s="793"/>
      <c r="B625" s="794"/>
      <c r="C625" s="793"/>
      <c r="D625" s="793"/>
      <c r="E625" s="301"/>
      <c r="F625" s="301"/>
      <c r="G625" s="802"/>
      <c r="H625" s="787"/>
      <c r="I625" s="800"/>
    </row>
    <row r="626" spans="1:9" ht="12.6" customHeight="1">
      <c r="A626" s="793"/>
      <c r="B626" s="794" t="str">
        <f>'財産集計（入力シート） '!B30</f>
        <v>その他財産</v>
      </c>
      <c r="C626" s="793"/>
      <c r="D626" s="793"/>
      <c r="E626" s="301"/>
      <c r="F626" s="301"/>
      <c r="G626" s="801">
        <f>'財産集計（入力シート） '!R30+'財産集計（入力シート） '!R31</f>
        <v>35348</v>
      </c>
      <c r="H626" s="786" t="str">
        <f>IF('財産集計（入力シート） '!P7=0,"",'財産集計（入力シート） '!P7)</f>
        <v/>
      </c>
      <c r="I626" s="799" t="str">
        <f>IF('財産集計（入力シート） '!P47=0,"",'財産集計（入力シート） '!P47)</f>
        <v/>
      </c>
    </row>
    <row r="627" spans="1:9" ht="12.6" customHeight="1">
      <c r="A627" s="793"/>
      <c r="B627" s="794"/>
      <c r="C627" s="793"/>
      <c r="D627" s="793"/>
      <c r="E627" s="301"/>
      <c r="F627" s="301"/>
      <c r="G627" s="802"/>
      <c r="H627" s="787"/>
      <c r="I627" s="800"/>
    </row>
    <row r="628" spans="1:9" ht="12.6" customHeight="1">
      <c r="A628" s="793"/>
      <c r="B628" s="794" t="str">
        <f>'財産集計（入力シート） '!B32</f>
        <v>代　償　財　産</v>
      </c>
      <c r="C628" s="793"/>
      <c r="D628" s="793"/>
      <c r="E628" s="301"/>
      <c r="F628" s="301"/>
      <c r="G628" s="801">
        <f>'財産集計（入力シート） '!R32+'財産集計（入力シート） '!R33</f>
        <v>0</v>
      </c>
      <c r="H628" s="786" t="str">
        <f>IF('財産集計（入力シート） '!Q7=0,"",'財産集計（入力シート） '!Q7)</f>
        <v/>
      </c>
      <c r="I628" s="799" t="str">
        <f>IF('財産集計（入力シート） '!Q47=0,"",'財産集計（入力シート） '!Q47)</f>
        <v/>
      </c>
    </row>
    <row r="629" spans="1:9" ht="12.6" customHeight="1">
      <c r="A629" s="793"/>
      <c r="B629" s="794"/>
      <c r="C629" s="793"/>
      <c r="D629" s="793"/>
      <c r="E629" s="301"/>
      <c r="F629" s="301"/>
      <c r="G629" s="802"/>
      <c r="H629" s="787"/>
      <c r="I629" s="800"/>
    </row>
    <row r="630" spans="1:9" ht="12.6" customHeight="1">
      <c r="A630" s="793"/>
      <c r="B630" s="794" t="str">
        <f>'財産集計（入力シート） '!B34</f>
        <v>未分割財産</v>
      </c>
      <c r="C630" s="793"/>
      <c r="D630" s="793"/>
      <c r="E630" s="301"/>
      <c r="F630" s="301"/>
      <c r="G630" s="801">
        <f>'財産集計（入力シート） '!R34+'財産集計（入力シート） '!R35</f>
        <v>0</v>
      </c>
      <c r="H630" s="797"/>
      <c r="I630" s="797"/>
    </row>
    <row r="631" spans="1:9" ht="12.6" customHeight="1">
      <c r="A631" s="793"/>
      <c r="B631" s="794"/>
      <c r="C631" s="793"/>
      <c r="D631" s="793"/>
      <c r="E631" s="301"/>
      <c r="F631" s="301"/>
      <c r="G631" s="802"/>
      <c r="H631" s="798"/>
      <c r="I631" s="798"/>
    </row>
    <row r="632" spans="1:9" ht="12.6" customHeight="1">
      <c r="A632" s="793"/>
      <c r="B632" s="794" t="str">
        <f>'財産集計（入力シート） '!B36</f>
        <v>財産合計(上下段別)</v>
      </c>
      <c r="C632" s="793"/>
      <c r="D632" s="793"/>
      <c r="E632" s="301"/>
      <c r="F632" s="301"/>
      <c r="G632" s="472">
        <f>'財産集計（入力シート） '!R36</f>
        <v>1569829919</v>
      </c>
      <c r="H632" s="797"/>
      <c r="I632" s="797"/>
    </row>
    <row r="633" spans="1:9" ht="12.6" customHeight="1">
      <c r="A633" s="793"/>
      <c r="B633" s="794"/>
      <c r="C633" s="793"/>
      <c r="D633" s="793"/>
      <c r="E633" s="301"/>
      <c r="F633" s="301"/>
      <c r="G633" s="471">
        <f>'財産集計（入力シート） '!R37</f>
        <v>-201960008</v>
      </c>
      <c r="H633" s="798"/>
      <c r="I633" s="798"/>
    </row>
    <row r="634" spans="1:9" ht="12.6" customHeight="1">
      <c r="A634" s="793"/>
      <c r="B634" s="794" t="str">
        <f>'財産集計（入力シート） '!B38</f>
        <v>精算課税贈与財産</v>
      </c>
      <c r="C634" s="793"/>
      <c r="D634" s="793"/>
      <c r="E634" s="301"/>
      <c r="F634" s="301"/>
      <c r="G634" s="801">
        <f>'財産集計（入力シート） '!R38+'財産集計（入力シート） '!R39</f>
        <v>80000000</v>
      </c>
      <c r="H634" s="797"/>
      <c r="I634" s="797"/>
    </row>
    <row r="635" spans="1:9" ht="12.6" customHeight="1">
      <c r="A635" s="793"/>
      <c r="B635" s="794"/>
      <c r="C635" s="793"/>
      <c r="D635" s="793"/>
      <c r="E635" s="301"/>
      <c r="F635" s="301"/>
      <c r="G635" s="802"/>
      <c r="H635" s="798"/>
      <c r="I635" s="798"/>
    </row>
    <row r="636" spans="1:9" ht="12.6" customHeight="1">
      <c r="A636" s="795"/>
      <c r="B636" s="786" t="str">
        <f>'財産集計（入力シート） '!B42</f>
        <v>債務控除・葬式費用</v>
      </c>
      <c r="C636" s="795"/>
      <c r="D636" s="795"/>
      <c r="E636" s="795"/>
      <c r="F636" s="795"/>
      <c r="G636" s="841">
        <f>'財産集計（入力シート） '!R42+'財産集計（入力シート） '!R43</f>
        <v>27960952</v>
      </c>
      <c r="H636" s="797"/>
      <c r="I636" s="797"/>
    </row>
    <row r="637" spans="1:9" ht="12.6" customHeight="1">
      <c r="A637" s="796"/>
      <c r="B637" s="787"/>
      <c r="C637" s="796"/>
      <c r="D637" s="796"/>
      <c r="E637" s="796"/>
      <c r="F637" s="796"/>
      <c r="G637" s="842"/>
      <c r="H637" s="798"/>
      <c r="I637" s="798"/>
    </row>
    <row r="638" spans="1:9" ht="12.6" customHeight="1">
      <c r="A638" s="793"/>
      <c r="B638" s="794" t="str">
        <f>'財産集計（入力シート） '!B44</f>
        <v>差引純資産価格</v>
      </c>
      <c r="C638" s="793"/>
      <c r="D638" s="793"/>
      <c r="E638" s="301"/>
      <c r="F638" s="301"/>
      <c r="G638" s="801">
        <f>'財産集計（入力シート） '!R44</f>
        <v>1419908959</v>
      </c>
      <c r="H638" s="797"/>
      <c r="I638" s="797"/>
    </row>
    <row r="639" spans="1:9" ht="12.6" customHeight="1">
      <c r="A639" s="793"/>
      <c r="B639" s="794"/>
      <c r="C639" s="793"/>
      <c r="D639" s="793"/>
      <c r="E639" s="301"/>
      <c r="F639" s="301"/>
      <c r="G639" s="802"/>
      <c r="H639" s="798"/>
      <c r="I639" s="798"/>
    </row>
    <row r="640" spans="1:9" ht="12.6" customHeight="1">
      <c r="A640" s="793"/>
      <c r="B640" s="794" t="str">
        <f>'財産集計（入力シート） '!B45</f>
        <v>暦年課税贈与財産</v>
      </c>
      <c r="C640" s="793"/>
      <c r="D640" s="793"/>
      <c r="E640" s="301"/>
      <c r="F640" s="301"/>
      <c r="G640" s="801">
        <f>'財産集計（入力シート） '!R45+'財産集計（入力シート） '!R46</f>
        <v>30000000</v>
      </c>
      <c r="H640" s="797"/>
      <c r="I640" s="797"/>
    </row>
    <row r="641" spans="1:9" ht="12.6" customHeight="1">
      <c r="A641" s="793"/>
      <c r="B641" s="794"/>
      <c r="C641" s="793"/>
      <c r="D641" s="793"/>
      <c r="E641" s="301"/>
      <c r="F641" s="301"/>
      <c r="G641" s="802"/>
      <c r="H641" s="798"/>
      <c r="I641" s="798"/>
    </row>
    <row r="642" spans="1:9" ht="12.6" customHeight="1">
      <c r="A642" s="793"/>
      <c r="B642" s="794" t="str">
        <f>'財産集計（入力シート） '!B47</f>
        <v>差引課税価格</v>
      </c>
      <c r="C642" s="793"/>
      <c r="D642" s="793"/>
      <c r="E642" s="301"/>
      <c r="F642" s="301"/>
      <c r="G642" s="801">
        <f>'財産集計（入力シート） '!R47</f>
        <v>1449908959</v>
      </c>
      <c r="H642" s="786" t="s">
        <v>27</v>
      </c>
      <c r="I642" s="799">
        <f>'財産集計（入力シート） '!R47</f>
        <v>1449908959</v>
      </c>
    </row>
    <row r="643" spans="1:9" ht="12.6" customHeight="1">
      <c r="A643" s="793"/>
      <c r="B643" s="794"/>
      <c r="C643" s="793"/>
      <c r="D643" s="793"/>
      <c r="E643" s="301"/>
      <c r="F643" s="301"/>
      <c r="G643" s="802"/>
      <c r="H643" s="787"/>
      <c r="I643" s="800"/>
    </row>
    <row r="644" spans="1:9" ht="12.6" customHeight="1">
      <c r="A644" s="380"/>
      <c r="B644" s="473"/>
      <c r="C644" s="380"/>
      <c r="D644" s="380"/>
      <c r="E644" s="295"/>
      <c r="F644" s="295"/>
      <c r="G644" s="475"/>
      <c r="H644" s="474"/>
      <c r="I644" s="333"/>
    </row>
    <row r="645" spans="1:9" ht="15.95" customHeight="1">
      <c r="A645" s="282" t="s">
        <v>329</v>
      </c>
      <c r="B645" s="473"/>
      <c r="C645" s="380"/>
      <c r="D645" s="380"/>
      <c r="E645" s="295"/>
      <c r="F645" s="295"/>
      <c r="G645" s="380"/>
      <c r="H645" s="474"/>
      <c r="I645" s="475"/>
    </row>
    <row r="646" spans="1:9" ht="15.95" customHeight="1">
      <c r="A646" s="380"/>
      <c r="B646" s="473"/>
      <c r="C646" s="380"/>
      <c r="D646" s="380"/>
      <c r="E646" s="295"/>
      <c r="F646" s="295"/>
      <c r="G646" s="380"/>
      <c r="H646" s="474"/>
      <c r="I646" s="475"/>
    </row>
    <row r="647" spans="1:9" ht="13.5" customHeight="1">
      <c r="A647" s="782" t="s">
        <v>209</v>
      </c>
      <c r="B647" s="782" t="s">
        <v>210</v>
      </c>
      <c r="C647" s="782" t="s">
        <v>241</v>
      </c>
      <c r="D647" s="782" t="s">
        <v>212</v>
      </c>
      <c r="E647" s="502" t="s">
        <v>213</v>
      </c>
      <c r="F647" s="502" t="s">
        <v>242</v>
      </c>
      <c r="G647" s="782" t="s">
        <v>255</v>
      </c>
      <c r="H647" s="782" t="s">
        <v>243</v>
      </c>
      <c r="I647" s="782" t="s">
        <v>327</v>
      </c>
    </row>
    <row r="648" spans="1:9" ht="13.5" customHeight="1">
      <c r="A648" s="782"/>
      <c r="B648" s="782"/>
      <c r="C648" s="782"/>
      <c r="D648" s="782"/>
      <c r="E648" s="502" t="s">
        <v>244</v>
      </c>
      <c r="F648" s="502" t="s">
        <v>245</v>
      </c>
      <c r="G648" s="782"/>
      <c r="H648" s="782"/>
      <c r="I648" s="782"/>
    </row>
    <row r="649" spans="1:9" ht="13.5" customHeight="1">
      <c r="A649" s="782"/>
      <c r="B649" s="783"/>
      <c r="C649" s="782"/>
      <c r="D649" s="782"/>
      <c r="E649" s="502"/>
      <c r="F649" s="502"/>
      <c r="G649" s="782"/>
      <c r="H649" s="784"/>
      <c r="I649" s="780"/>
    </row>
    <row r="650" spans="1:9" ht="13.5" customHeight="1">
      <c r="A650" s="782"/>
      <c r="B650" s="783"/>
      <c r="C650" s="782"/>
      <c r="D650" s="782"/>
      <c r="E650" s="502"/>
      <c r="F650" s="502"/>
      <c r="G650" s="782"/>
      <c r="H650" s="785"/>
      <c r="I650" s="781"/>
    </row>
    <row r="651" spans="1:9" ht="13.5" customHeight="1">
      <c r="A651" s="782"/>
      <c r="B651" s="783"/>
      <c r="C651" s="782"/>
      <c r="D651" s="782"/>
      <c r="E651" s="502"/>
      <c r="F651" s="502"/>
      <c r="G651" s="782"/>
      <c r="H651" s="784"/>
      <c r="I651" s="780"/>
    </row>
    <row r="652" spans="1:9" ht="13.5" customHeight="1">
      <c r="A652" s="782"/>
      <c r="B652" s="783"/>
      <c r="C652" s="782"/>
      <c r="D652" s="782"/>
      <c r="E652" s="502"/>
      <c r="F652" s="502"/>
      <c r="G652" s="782"/>
      <c r="H652" s="785"/>
      <c r="I652" s="781"/>
    </row>
    <row r="653" spans="1:9" ht="13.5" customHeight="1">
      <c r="A653" s="782"/>
      <c r="B653" s="783"/>
      <c r="C653" s="782"/>
      <c r="D653" s="782"/>
      <c r="E653" s="502"/>
      <c r="F653" s="502"/>
      <c r="G653" s="782"/>
      <c r="H653" s="803"/>
      <c r="I653" s="780"/>
    </row>
    <row r="654" spans="1:9" ht="13.5" customHeight="1">
      <c r="A654" s="782"/>
      <c r="B654" s="783"/>
      <c r="C654" s="782"/>
      <c r="D654" s="782"/>
      <c r="E654" s="502"/>
      <c r="F654" s="502"/>
      <c r="G654" s="782"/>
      <c r="H654" s="785"/>
      <c r="I654" s="781"/>
    </row>
    <row r="655" spans="1:9" ht="13.5" customHeight="1">
      <c r="A655" s="782"/>
      <c r="B655" s="783"/>
      <c r="C655" s="782"/>
      <c r="D655" s="782"/>
      <c r="E655" s="502"/>
      <c r="F655" s="502"/>
      <c r="G655" s="782"/>
      <c r="H655" s="784"/>
      <c r="I655" s="780"/>
    </row>
    <row r="656" spans="1:9" ht="13.5" customHeight="1">
      <c r="A656" s="782"/>
      <c r="B656" s="783"/>
      <c r="C656" s="782"/>
      <c r="D656" s="782"/>
      <c r="E656" s="502"/>
      <c r="F656" s="502"/>
      <c r="G656" s="782"/>
      <c r="H656" s="785"/>
      <c r="I656" s="781"/>
    </row>
    <row r="657" spans="1:9" ht="13.5" customHeight="1">
      <c r="A657" s="782"/>
      <c r="B657" s="783"/>
      <c r="C657" s="782"/>
      <c r="D657" s="782"/>
      <c r="E657" s="502"/>
      <c r="F657" s="502"/>
      <c r="G657" s="782"/>
      <c r="H657" s="784"/>
      <c r="I657" s="780"/>
    </row>
    <row r="658" spans="1:9" ht="13.5" customHeight="1">
      <c r="A658" s="782"/>
      <c r="B658" s="783"/>
      <c r="C658" s="782"/>
      <c r="D658" s="782"/>
      <c r="E658" s="502"/>
      <c r="F658" s="502"/>
      <c r="G658" s="782"/>
      <c r="H658" s="785"/>
      <c r="I658" s="781"/>
    </row>
    <row r="659" spans="1:9" ht="13.5" customHeight="1">
      <c r="A659" s="782"/>
      <c r="B659" s="783"/>
      <c r="C659" s="782"/>
      <c r="D659" s="782"/>
      <c r="E659" s="502"/>
      <c r="F659" s="502"/>
      <c r="G659" s="782"/>
      <c r="H659" s="784"/>
      <c r="I659" s="780"/>
    </row>
    <row r="660" spans="1:9" ht="13.5" customHeight="1">
      <c r="A660" s="782"/>
      <c r="B660" s="783"/>
      <c r="C660" s="782"/>
      <c r="D660" s="782"/>
      <c r="E660" s="502"/>
      <c r="F660" s="502"/>
      <c r="G660" s="782"/>
      <c r="H660" s="785"/>
      <c r="I660" s="781"/>
    </row>
    <row r="661" spans="1:9" ht="13.5" customHeight="1">
      <c r="A661" s="782"/>
      <c r="B661" s="783"/>
      <c r="C661" s="782"/>
      <c r="D661" s="782"/>
      <c r="E661" s="502"/>
      <c r="F661" s="502"/>
      <c r="G661" s="782"/>
      <c r="H661" s="784"/>
      <c r="I661" s="780"/>
    </row>
    <row r="662" spans="1:9" ht="13.5" customHeight="1">
      <c r="A662" s="782"/>
      <c r="B662" s="783"/>
      <c r="C662" s="782"/>
      <c r="D662" s="782"/>
      <c r="E662" s="502"/>
      <c r="F662" s="502"/>
      <c r="G662" s="782"/>
      <c r="H662" s="785"/>
      <c r="I662" s="781"/>
    </row>
    <row r="663" spans="1:9" ht="13.5" customHeight="1">
      <c r="A663" s="782"/>
      <c r="B663" s="783"/>
      <c r="C663" s="782"/>
      <c r="D663" s="782"/>
      <c r="E663" s="502"/>
      <c r="F663" s="502"/>
      <c r="G663" s="782"/>
      <c r="H663" s="784"/>
      <c r="I663" s="780"/>
    </row>
    <row r="664" spans="1:9" ht="13.5" customHeight="1">
      <c r="A664" s="782"/>
      <c r="B664" s="783"/>
      <c r="C664" s="782"/>
      <c r="D664" s="782"/>
      <c r="E664" s="502"/>
      <c r="F664" s="502"/>
      <c r="G664" s="782"/>
      <c r="H664" s="785"/>
      <c r="I664" s="781"/>
    </row>
    <row r="665" spans="1:9" ht="13.5" customHeight="1">
      <c r="A665" s="782"/>
      <c r="B665" s="783"/>
      <c r="C665" s="782"/>
      <c r="D665" s="782"/>
      <c r="E665" s="502"/>
      <c r="F665" s="502"/>
      <c r="G665" s="782"/>
      <c r="H665" s="784"/>
      <c r="I665" s="780"/>
    </row>
    <row r="666" spans="1:9" ht="13.5" customHeight="1">
      <c r="A666" s="782"/>
      <c r="B666" s="783"/>
      <c r="C666" s="782"/>
      <c r="D666" s="782"/>
      <c r="E666" s="502"/>
      <c r="F666" s="502"/>
      <c r="G666" s="782"/>
      <c r="H666" s="785"/>
      <c r="I666" s="781"/>
    </row>
    <row r="667" spans="1:9" ht="13.5" customHeight="1">
      <c r="A667" s="782"/>
      <c r="B667" s="783"/>
      <c r="C667" s="782"/>
      <c r="D667" s="782"/>
      <c r="E667" s="502"/>
      <c r="F667" s="502"/>
      <c r="G667" s="782"/>
      <c r="H667" s="784"/>
      <c r="I667" s="780"/>
    </row>
    <row r="668" spans="1:9" ht="13.5" customHeight="1">
      <c r="A668" s="782"/>
      <c r="B668" s="783"/>
      <c r="C668" s="782"/>
      <c r="D668" s="782"/>
      <c r="E668" s="502"/>
      <c r="F668" s="502"/>
      <c r="G668" s="782"/>
      <c r="H668" s="785"/>
      <c r="I668" s="781"/>
    </row>
    <row r="669" spans="1:9" ht="13.5" customHeight="1">
      <c r="A669" s="782"/>
      <c r="B669" s="783"/>
      <c r="C669" s="782"/>
      <c r="D669" s="782"/>
      <c r="E669" s="502"/>
      <c r="F669" s="502"/>
      <c r="G669" s="782"/>
      <c r="H669" s="784"/>
      <c r="I669" s="780"/>
    </row>
    <row r="670" spans="1:9" ht="13.5" customHeight="1">
      <c r="A670" s="782"/>
      <c r="B670" s="783"/>
      <c r="C670" s="782"/>
      <c r="D670" s="782"/>
      <c r="E670" s="502"/>
      <c r="F670" s="502"/>
      <c r="G670" s="782"/>
      <c r="H670" s="785"/>
      <c r="I670" s="781"/>
    </row>
    <row r="671" spans="1:9" ht="13.5" customHeight="1">
      <c r="A671" s="782"/>
      <c r="B671" s="783"/>
      <c r="C671" s="782"/>
      <c r="D671" s="782"/>
      <c r="E671" s="502"/>
      <c r="F671" s="502"/>
      <c r="G671" s="782"/>
      <c r="H671" s="784"/>
      <c r="I671" s="780"/>
    </row>
    <row r="672" spans="1:9" ht="13.5" customHeight="1">
      <c r="A672" s="782"/>
      <c r="B672" s="783"/>
      <c r="C672" s="782"/>
      <c r="D672" s="782"/>
      <c r="E672" s="502"/>
      <c r="F672" s="502"/>
      <c r="G672" s="782"/>
      <c r="H672" s="785"/>
      <c r="I672" s="781"/>
    </row>
    <row r="673" spans="1:9" ht="13.5" customHeight="1">
      <c r="A673" s="782"/>
      <c r="B673" s="783"/>
      <c r="C673" s="782"/>
      <c r="D673" s="782"/>
      <c r="E673" s="502"/>
      <c r="F673" s="502"/>
      <c r="G673" s="782"/>
      <c r="H673" s="784"/>
      <c r="I673" s="780"/>
    </row>
    <row r="674" spans="1:9" ht="13.5" customHeight="1">
      <c r="A674" s="782"/>
      <c r="B674" s="783"/>
      <c r="C674" s="782"/>
      <c r="D674" s="782"/>
      <c r="E674" s="502"/>
      <c r="F674" s="502"/>
      <c r="G674" s="782"/>
      <c r="H674" s="785"/>
      <c r="I674" s="781"/>
    </row>
    <row r="675" spans="1:9" ht="13.5" customHeight="1">
      <c r="A675" s="782"/>
      <c r="B675" s="783"/>
      <c r="C675" s="782"/>
      <c r="D675" s="782"/>
      <c r="E675" s="502"/>
      <c r="F675" s="502"/>
      <c r="G675" s="782"/>
      <c r="H675" s="784"/>
      <c r="I675" s="780"/>
    </row>
    <row r="676" spans="1:9" ht="13.5" customHeight="1">
      <c r="A676" s="782"/>
      <c r="B676" s="783"/>
      <c r="C676" s="782"/>
      <c r="D676" s="782"/>
      <c r="E676" s="502"/>
      <c r="F676" s="502"/>
      <c r="G676" s="782"/>
      <c r="H676" s="785"/>
      <c r="I676" s="781"/>
    </row>
    <row r="677" spans="1:9" ht="13.5" customHeight="1">
      <c r="A677" s="782"/>
      <c r="B677" s="783"/>
      <c r="C677" s="782"/>
      <c r="D677" s="782"/>
      <c r="E677" s="502"/>
      <c r="F677" s="502"/>
      <c r="G677" s="782"/>
      <c r="H677" s="784"/>
      <c r="I677" s="780"/>
    </row>
    <row r="678" spans="1:9" ht="13.5" customHeight="1">
      <c r="A678" s="782"/>
      <c r="B678" s="783"/>
      <c r="C678" s="782"/>
      <c r="D678" s="782"/>
      <c r="E678" s="502"/>
      <c r="F678" s="502"/>
      <c r="G678" s="782"/>
      <c r="H678" s="785"/>
      <c r="I678" s="781"/>
    </row>
    <row r="679" spans="1:9" ht="13.5" customHeight="1">
      <c r="A679" s="782"/>
      <c r="B679" s="783"/>
      <c r="C679" s="782"/>
      <c r="D679" s="782"/>
      <c r="E679" s="502"/>
      <c r="F679" s="502"/>
      <c r="G679" s="782"/>
      <c r="H679" s="784"/>
      <c r="I679" s="780"/>
    </row>
    <row r="680" spans="1:9" ht="13.5" customHeight="1">
      <c r="A680" s="782"/>
      <c r="B680" s="783"/>
      <c r="C680" s="782"/>
      <c r="D680" s="782"/>
      <c r="E680" s="502"/>
      <c r="F680" s="502"/>
      <c r="G680" s="782"/>
      <c r="H680" s="785"/>
      <c r="I680" s="781"/>
    </row>
    <row r="681" spans="1:9" ht="13.5" customHeight="1">
      <c r="A681" s="782"/>
      <c r="B681" s="783"/>
      <c r="C681" s="782"/>
      <c r="D681" s="782"/>
      <c r="E681" s="502"/>
      <c r="F681" s="502"/>
      <c r="G681" s="782"/>
      <c r="H681" s="784"/>
      <c r="I681" s="780"/>
    </row>
    <row r="682" spans="1:9" ht="13.5" customHeight="1">
      <c r="A682" s="782"/>
      <c r="B682" s="783"/>
      <c r="C682" s="782"/>
      <c r="D682" s="782"/>
      <c r="E682" s="502"/>
      <c r="F682" s="502"/>
      <c r="G682" s="782"/>
      <c r="H682" s="785"/>
      <c r="I682" s="781"/>
    </row>
    <row r="683" spans="1:9" ht="13.5" customHeight="1">
      <c r="A683" s="782"/>
      <c r="B683" s="783"/>
      <c r="C683" s="782"/>
      <c r="D683" s="782"/>
      <c r="E683" s="502"/>
      <c r="F683" s="502"/>
      <c r="G683" s="782"/>
      <c r="H683" s="784"/>
      <c r="I683" s="780"/>
    </row>
    <row r="684" spans="1:9" ht="13.5" customHeight="1">
      <c r="A684" s="782"/>
      <c r="B684" s="783"/>
      <c r="C684" s="782"/>
      <c r="D684" s="782"/>
      <c r="E684" s="502"/>
      <c r="F684" s="502"/>
      <c r="G684" s="782"/>
      <c r="H684" s="785"/>
      <c r="I684" s="781"/>
    </row>
    <row r="685" spans="1:9" ht="13.5" customHeight="1">
      <c r="A685" s="782"/>
      <c r="B685" s="783"/>
      <c r="C685" s="782"/>
      <c r="D685" s="782"/>
      <c r="E685" s="502"/>
      <c r="F685" s="502"/>
      <c r="G685" s="782"/>
      <c r="H685" s="784"/>
      <c r="I685" s="780"/>
    </row>
    <row r="686" spans="1:9" ht="13.5" customHeight="1">
      <c r="A686" s="782"/>
      <c r="B686" s="783"/>
      <c r="C686" s="782"/>
      <c r="D686" s="782"/>
      <c r="E686" s="502"/>
      <c r="F686" s="502"/>
      <c r="G686" s="782"/>
      <c r="H686" s="785"/>
      <c r="I686" s="781"/>
    </row>
    <row r="687" spans="1:9" ht="13.5" customHeight="1">
      <c r="A687" s="782"/>
      <c r="B687" s="783"/>
      <c r="C687" s="782"/>
      <c r="D687" s="782"/>
      <c r="E687" s="502"/>
      <c r="F687" s="502"/>
      <c r="G687" s="782"/>
      <c r="H687" s="784"/>
      <c r="I687" s="780"/>
    </row>
    <row r="688" spans="1:9" ht="13.5" customHeight="1">
      <c r="A688" s="782"/>
      <c r="B688" s="783"/>
      <c r="C688" s="782"/>
      <c r="D688" s="782"/>
      <c r="E688" s="502"/>
      <c r="F688" s="502"/>
      <c r="G688" s="782"/>
      <c r="H688" s="785"/>
      <c r="I688" s="781"/>
    </row>
    <row r="689" spans="1:9" ht="13.5" customHeight="1">
      <c r="A689" s="555"/>
      <c r="B689" s="556"/>
      <c r="C689" s="555"/>
      <c r="D689" s="555"/>
      <c r="E689" s="504"/>
      <c r="F689" s="504"/>
      <c r="G689" s="555"/>
      <c r="H689" s="557"/>
      <c r="I689" s="558"/>
    </row>
    <row r="690" spans="1:9" ht="15.95" customHeight="1">
      <c r="A690" s="282" t="s">
        <v>246</v>
      </c>
    </row>
    <row r="692" spans="1:9" ht="15.95" customHeight="1">
      <c r="A692" s="282" t="s">
        <v>247</v>
      </c>
    </row>
    <row r="694" spans="1:9" ht="15.95" customHeight="1">
      <c r="A694" s="530" t="s">
        <v>248</v>
      </c>
      <c r="B694" s="340" t="s">
        <v>604</v>
      </c>
      <c r="C694" s="340" t="s">
        <v>605</v>
      </c>
      <c r="D694" s="340" t="s">
        <v>606</v>
      </c>
      <c r="E694" s="340" t="s">
        <v>607</v>
      </c>
      <c r="F694" s="340" t="s">
        <v>608</v>
      </c>
      <c r="G694" s="340" t="s">
        <v>609</v>
      </c>
    </row>
    <row r="695" spans="1:9" ht="15.95" customHeight="1">
      <c r="A695" s="502">
        <v>1</v>
      </c>
      <c r="B695" s="470" t="str">
        <f>IF('財産集計（入力シート） '!R38+'財産集計（入力シート） '!R39=0,"",'財産集計（入力シート） '!D7)</f>
        <v>小林洋子</v>
      </c>
      <c r="C695" s="340"/>
      <c r="D695" s="301"/>
      <c r="E695" s="205">
        <f>IF('財産集計（入力シート） '!D38+'財産集計（入力シート） '!D39=0,0,'財産集計（入力シート） '!D38+'財産集計（入力シート） '!D39)</f>
        <v>0</v>
      </c>
      <c r="F695" s="205">
        <f>IF(E695=0,0,'税額計算（出力シート） '!D41)</f>
        <v>0</v>
      </c>
      <c r="G695" s="205">
        <f>IF('税額計算（出力シート） '!D38=0,0,'税額計算（出力シート） '!D38)</f>
        <v>0</v>
      </c>
    </row>
    <row r="696" spans="1:9" ht="15.95" customHeight="1">
      <c r="A696" s="502">
        <v>2</v>
      </c>
      <c r="B696" s="470" t="str">
        <f>IF('財産集計（入力シート） '!R38+'財産集計（入力シート） '!R39=0,"",'財産集計（入力シート） '!E7)</f>
        <v>小林智子</v>
      </c>
      <c r="C696" s="340"/>
      <c r="D696" s="301"/>
      <c r="E696" s="205">
        <f>IF('財産集計（入力シート） '!E38+'財産集計（入力シート） '!E39=0,0,'財産集計（入力シート） '!E38+'財産集計（入力シート） '!E39)</f>
        <v>50000000</v>
      </c>
      <c r="F696" s="205">
        <f>IF(E696=0,0,'税額計算（出力シート） '!E41)</f>
        <v>3000000</v>
      </c>
      <c r="G696" s="205">
        <f>IF('税額計算（出力シート） '!E38=0,0,'税額計算（出力シート） '!E38)</f>
        <v>0</v>
      </c>
    </row>
    <row r="697" spans="1:9" ht="15.95" customHeight="1">
      <c r="A697" s="502">
        <v>3</v>
      </c>
      <c r="B697" s="470" t="str">
        <f>IF('財産集計（入力シート） '!R38+'財産集計（入力シート） '!R39=0,"",'財産集計（入力シート） '!F7)</f>
        <v>小林尊琉</v>
      </c>
      <c r="C697" s="340"/>
      <c r="D697" s="301"/>
      <c r="E697" s="205">
        <f>IF('財産集計（入力シート） '!F38+'財産集計（入力シート） '!F39=0,0,'財産集計（入力シート） '!F38+'財産集計（入力シート） '!F39)</f>
        <v>0</v>
      </c>
      <c r="F697" s="205">
        <f>IF(E697=0,0,'税額計算（出力シート） '!F41)</f>
        <v>0</v>
      </c>
      <c r="G697" s="205">
        <f>IF('税額計算（出力シート） '!F38=0,0,'税額計算（出力シート） '!F38)</f>
        <v>1120000</v>
      </c>
    </row>
    <row r="698" spans="1:9" ht="15.95" customHeight="1">
      <c r="A698" s="502">
        <v>4</v>
      </c>
      <c r="B698" s="470" t="str">
        <f>IF('財産集計（入力シート） '!R38+'財産集計（入力シート） '!R39=0,"",'財産集計（入力シート） '!G7)</f>
        <v>小林二郎</v>
      </c>
      <c r="C698" s="340"/>
      <c r="D698" s="301"/>
      <c r="E698" s="205">
        <f>IF('財産集計（入力シート） '!G38+'財産集計（入力シート） '!G39=0,0,'財産集計（入力シート） '!G38+'財産集計（入力シート） '!G39)</f>
        <v>30000000</v>
      </c>
      <c r="F698" s="205">
        <f>IF(E698=0,0,'税額計算（出力シート） '!G41)</f>
        <v>1000000</v>
      </c>
      <c r="G698" s="205">
        <f>IF('税額計算（出力シート） '!G38=0,0,'税額計算（出力シート） '!G38)</f>
        <v>0</v>
      </c>
    </row>
    <row r="699" spans="1:9" ht="15.95" customHeight="1">
      <c r="A699" s="502">
        <v>5</v>
      </c>
      <c r="B699" s="470" t="str">
        <f>IF('財産集計（入力シート） '!R38+'財産集計（入力シート） '!R39=0,"",'財産集計（入力シート） '!H7)</f>
        <v>佐藤英理</v>
      </c>
      <c r="C699" s="340"/>
      <c r="D699" s="301"/>
      <c r="E699" s="205">
        <f>IF('財産集計（入力シート） '!H38+'財産集計（入力シート） '!H39=0,0,'財産集計（入力シート） '!H38+'財産集計（入力シート） '!H39)</f>
        <v>0</v>
      </c>
      <c r="F699" s="205">
        <f>IF(E699=0,0,'税額計算（出力シート） '!H41)</f>
        <v>0</v>
      </c>
      <c r="G699" s="205">
        <f>IF('税額計算（出力シート） '!H38=0,0,'税額計算（出力シート） '!H38)</f>
        <v>649600</v>
      </c>
    </row>
    <row r="700" spans="1:9" ht="15.95" customHeight="1">
      <c r="A700" s="502">
        <v>6</v>
      </c>
      <c r="B700" s="470" t="str">
        <f>IF('財産集計（入力シート） '!R38+'財産集計（入力シート） '!R39=0,"",'財産集計（入力シート） '!I7)</f>
        <v>小林　円</v>
      </c>
      <c r="C700" s="340"/>
      <c r="D700" s="301"/>
      <c r="E700" s="205">
        <f>IF('財産集計（入力シート） '!I38+'財産集計（入力シート） '!I39=0,0,'財産集計（入力シート） '!I38+'財産集計（入力シート） '!I39)</f>
        <v>0</v>
      </c>
      <c r="F700" s="205">
        <f>IF(E700=0,0,'税額計算（出力シート） '!I41)</f>
        <v>0</v>
      </c>
      <c r="G700" s="205">
        <f>IF('税額計算（出力シート） '!I38=0,0,'税額計算（出力シート） '!I38)</f>
        <v>0</v>
      </c>
    </row>
    <row r="701" spans="1:9" ht="15.95" customHeight="1">
      <c r="A701" s="502">
        <v>7</v>
      </c>
      <c r="B701" s="470">
        <f>IF('財産集計（入力シート） '!R38+'財産集計（入力シート） '!R39=0,"",'財産集計（入力シート） '!J7)</f>
        <v>0</v>
      </c>
      <c r="C701" s="340"/>
      <c r="D701" s="301"/>
      <c r="E701" s="205">
        <f>IF('財産集計（入力シート） '!J38+'財産集計（入力シート） '!J39=0,0,'財産集計（入力シート） '!J38+'財産集計（入力シート） '!J39)</f>
        <v>0</v>
      </c>
      <c r="F701" s="205">
        <f>IF(E701=0,0,'税額計算（出力シート） '!J41)</f>
        <v>0</v>
      </c>
      <c r="G701" s="205">
        <f>IF('税額計算（出力シート） '!J38=0,0,'税額計算（出力シート） '!J38)</f>
        <v>0</v>
      </c>
    </row>
    <row r="702" spans="1:9" ht="15.95" customHeight="1">
      <c r="A702" s="502">
        <v>8</v>
      </c>
      <c r="B702" s="470">
        <f>IF('財産集計（入力シート） '!R38+'財産集計（入力シート） '!R39=0,"",'財産集計（入力シート） '!K7)</f>
        <v>0</v>
      </c>
      <c r="C702" s="340"/>
      <c r="D702" s="301"/>
      <c r="E702" s="205">
        <f>IF('財産集計（入力シート） '!K38+'財産集計（入力シート） '!K39=0,0,'財産集計（入力シート） '!K38+'財産集計（入力シート） '!K39)</f>
        <v>0</v>
      </c>
      <c r="F702" s="205">
        <f>IF(E702=0,0,'税額計算（出力シート） '!K41)</f>
        <v>0</v>
      </c>
      <c r="G702" s="205">
        <f>IF('税額計算（出力シート） '!K38=0,0,'税額計算（出力シート） '!K38)</f>
        <v>0</v>
      </c>
    </row>
    <row r="703" spans="1:9" ht="15.95" customHeight="1">
      <c r="A703" s="502">
        <v>9</v>
      </c>
      <c r="B703" s="470">
        <f>IF('財産集計（入力シート） '!R38+'財産集計（入力シート） '!R39=0,"",'財産集計（入力シート） '!L7)</f>
        <v>0</v>
      </c>
      <c r="C703" s="340"/>
      <c r="D703" s="301"/>
      <c r="E703" s="205">
        <f>IF('財産集計（入力シート） '!L38+'財産集計（入力シート） '!L39=0,0,'財産集計（入力シート） '!L38+'財産集計（入力シート） '!L39)</f>
        <v>0</v>
      </c>
      <c r="F703" s="205">
        <f>IF(E703=0,0,'税額計算（出力シート） '!L41)</f>
        <v>0</v>
      </c>
      <c r="G703" s="205">
        <f>IF('税額計算（出力シート） '!L38=0,0,'税額計算（出力シート） '!L38)</f>
        <v>0</v>
      </c>
    </row>
    <row r="704" spans="1:9" ht="15.95" customHeight="1">
      <c r="A704" s="502">
        <v>10</v>
      </c>
      <c r="B704" s="470">
        <f>IF('財産集計（入力シート） '!R38+'財産集計（入力シート） '!R39=0,"",'財産集計（入力シート） '!M7)</f>
        <v>0</v>
      </c>
      <c r="C704" s="340"/>
      <c r="D704" s="301"/>
      <c r="E704" s="205">
        <f>IF('財産集計（入力シート） '!M38+'財産集計（入力シート） '!M39=0,0,'財産集計（入力シート） '!M38+'財産集計（入力シート） '!M39)</f>
        <v>0</v>
      </c>
      <c r="F704" s="205">
        <f>IF(E704=0,0,'税額計算（出力シート） '!M41)</f>
        <v>0</v>
      </c>
      <c r="G704" s="205">
        <f>IF('税額計算（出力シート） '!M38=0,0,'税額計算（出力シート） '!M38)</f>
        <v>0</v>
      </c>
    </row>
    <row r="705" spans="1:13" ht="15.95" customHeight="1">
      <c r="A705" s="502">
        <v>11</v>
      </c>
      <c r="B705" s="470">
        <f>IF('財産集計（入力シート） '!R38+'財産集計（入力シート） '!R39=0,"",'財産集計（入力シート） '!N7)</f>
        <v>0</v>
      </c>
      <c r="C705" s="340"/>
      <c r="D705" s="301"/>
      <c r="E705" s="205">
        <f>IF('財産集計（入力シート） '!N38+'財産集計（入力シート） '!N39=0,0,'財産集計（入力シート） '!N38+'財産集計（入力シート） '!N39)</f>
        <v>0</v>
      </c>
      <c r="F705" s="205">
        <f>IF(E705=0,0,'税額計算（出力シート） '!N41)</f>
        <v>0</v>
      </c>
      <c r="G705" s="205">
        <f>IF('税額計算（出力シート） '!N38=0,0,'税額計算（出力シート） '!N38)</f>
        <v>0</v>
      </c>
    </row>
    <row r="706" spans="1:13" ht="15.95" customHeight="1">
      <c r="A706" s="502">
        <v>12</v>
      </c>
      <c r="B706" s="470">
        <f>IF('財産集計（入力シート） '!R38+'財産集計（入力シート） '!R39=0,"",'財産集計（入力シート） '!O7)</f>
        <v>0</v>
      </c>
      <c r="C706" s="340"/>
      <c r="D706" s="301"/>
      <c r="E706" s="205">
        <f>IF('財産集計（入力シート） '!O38+'財産集計（入力シート） '!O39=0,0,'財産集計（入力シート） '!O38+'財産集計（入力シート） '!O39)</f>
        <v>0</v>
      </c>
      <c r="F706" s="205">
        <f>IF(E706=0,0,'税額計算（出力シート） '!O41)</f>
        <v>0</v>
      </c>
      <c r="G706" s="205">
        <f>IF('税額計算（出力シート） '!O38=0,0,'税額計算（出力シート） '!O38)</f>
        <v>0</v>
      </c>
    </row>
    <row r="707" spans="1:13" ht="15.95" customHeight="1">
      <c r="A707" s="502">
        <v>13</v>
      </c>
      <c r="B707" s="470">
        <f>IF('財産集計（入力シート） '!R38+'財産集計（入力シート） '!R39=0,"",'財産集計（入力シート） '!P7)</f>
        <v>0</v>
      </c>
      <c r="C707" s="340"/>
      <c r="D707" s="301"/>
      <c r="E707" s="205">
        <f>IF('財産集計（入力シート） '!P38+'財産集計（入力シート） '!P39=0,0,'財産集計（入力シート） '!P38+'財産集計（入力シート） '!P39)</f>
        <v>0</v>
      </c>
      <c r="F707" s="205">
        <f>IF(E707=0,0,'税額計算（出力シート） '!P41)</f>
        <v>0</v>
      </c>
      <c r="G707" s="205">
        <f>IF('税額計算（出力シート） '!P38=0,0,'税額計算（出力シート） '!P38)</f>
        <v>0</v>
      </c>
    </row>
    <row r="708" spans="1:13" ht="15.95" customHeight="1">
      <c r="A708" s="502">
        <v>14</v>
      </c>
      <c r="B708" s="470">
        <f>IF('財産集計（入力シート） '!R38+'財産集計（入力シート） '!R39=0,"",'財産集計（入力シート） '!Q7)</f>
        <v>0</v>
      </c>
      <c r="C708" s="340"/>
      <c r="D708" s="301"/>
      <c r="E708" s="205">
        <f>IF('財産集計（入力シート） '!Q38+'財産集計（入力シート） '!Q39=0,0,'財産集計（入力シート） '!Q38+'財産集計（入力シート） '!Q39)</f>
        <v>0</v>
      </c>
      <c r="F708" s="205">
        <f>IF(E708=0,0,'税額計算（出力シート） '!Q41)</f>
        <v>0</v>
      </c>
      <c r="G708" s="205">
        <f>IF('税額計算（出力シート） '!Q38=0,0,'税額計算（出力シート） '!Q38)</f>
        <v>0</v>
      </c>
    </row>
    <row r="709" spans="1:13" ht="15.95" customHeight="1">
      <c r="A709" s="838"/>
      <c r="B709" s="338" t="s">
        <v>633</v>
      </c>
      <c r="C709" s="469" t="s">
        <v>331</v>
      </c>
      <c r="D709" s="470" t="str">
        <f>IF('財産集計（入力シート） '!D7=0,"",'財産集計（入力シート） '!D7)</f>
        <v>小林洋子</v>
      </c>
      <c r="E709" s="470" t="str">
        <f>'財産集計（入力シート） '!E7</f>
        <v>小林智子</v>
      </c>
      <c r="F709" s="476" t="str">
        <f>'財産集計（入力シート） '!F7</f>
        <v>小林尊琉</v>
      </c>
      <c r="G709" s="470" t="str">
        <f>'財産集計（入力シート） '!G7</f>
        <v>小林二郎</v>
      </c>
      <c r="H709" s="476" t="str">
        <f>'財産集計（入力シート） '!H7</f>
        <v>佐藤英理</v>
      </c>
      <c r="I709" s="470" t="str">
        <f>'財産集計（入力シート） '!I7</f>
        <v>小林　円</v>
      </c>
      <c r="J709" s="337" t="s">
        <v>348</v>
      </c>
      <c r="K709" s="473"/>
      <c r="L709" s="491"/>
      <c r="M709" s="473"/>
    </row>
    <row r="710" spans="1:13" ht="15.95" customHeight="1">
      <c r="A710" s="839"/>
      <c r="B710" s="301" t="s">
        <v>610</v>
      </c>
      <c r="C710" s="345">
        <f>SUM(D710:J710)</f>
        <v>80000000</v>
      </c>
      <c r="D710" s="205">
        <f>E695</f>
        <v>0</v>
      </c>
      <c r="E710" s="205">
        <f>E696</f>
        <v>50000000</v>
      </c>
      <c r="F710" s="205">
        <f>E697</f>
        <v>0</v>
      </c>
      <c r="G710" s="205">
        <f>E698</f>
        <v>30000000</v>
      </c>
      <c r="H710" s="205">
        <f>E699</f>
        <v>0</v>
      </c>
      <c r="I710" s="205">
        <f>E700</f>
        <v>0</v>
      </c>
      <c r="J710" s="205">
        <f>SUM(B716:I716)</f>
        <v>0</v>
      </c>
      <c r="K710" s="332"/>
      <c r="L710" s="332"/>
      <c r="M710" s="332"/>
    </row>
    <row r="711" spans="1:13" ht="15.95" customHeight="1">
      <c r="A711" s="839"/>
      <c r="B711" s="301" t="s">
        <v>611</v>
      </c>
      <c r="C711" s="345">
        <f>SUM(D711:J711)</f>
        <v>4000000</v>
      </c>
      <c r="D711" s="205">
        <f>F695</f>
        <v>0</v>
      </c>
      <c r="E711" s="205">
        <f>F696</f>
        <v>3000000</v>
      </c>
      <c r="F711" s="205">
        <f>F697</f>
        <v>0</v>
      </c>
      <c r="G711" s="205">
        <f>F698</f>
        <v>1000000</v>
      </c>
      <c r="H711" s="205">
        <f>F699</f>
        <v>0</v>
      </c>
      <c r="I711" s="205">
        <f>F700</f>
        <v>0</v>
      </c>
      <c r="J711" s="205">
        <f>SUM(B717:I717)</f>
        <v>0</v>
      </c>
      <c r="K711" s="332"/>
      <c r="L711" s="332"/>
      <c r="M711" s="332"/>
    </row>
    <row r="712" spans="1:13" ht="15.95" customHeight="1">
      <c r="A712" s="840"/>
      <c r="B712" s="301" t="s">
        <v>612</v>
      </c>
      <c r="C712" s="345">
        <f>SUM(D712:J712)</f>
        <v>1769600</v>
      </c>
      <c r="D712" s="205">
        <f>G695</f>
        <v>0</v>
      </c>
      <c r="E712" s="205">
        <f>G696</f>
        <v>0</v>
      </c>
      <c r="F712" s="205">
        <f>G697</f>
        <v>1120000</v>
      </c>
      <c r="G712" s="205">
        <f>G698</f>
        <v>0</v>
      </c>
      <c r="H712" s="205">
        <f>G699</f>
        <v>649600</v>
      </c>
      <c r="I712" s="205">
        <f>G700</f>
        <v>0</v>
      </c>
      <c r="J712" s="205">
        <f>SUM(B718:I718)</f>
        <v>0</v>
      </c>
      <c r="K712" s="332"/>
      <c r="L712" s="332"/>
      <c r="M712" s="332"/>
    </row>
    <row r="713" spans="1:13" ht="15.95" customHeight="1">
      <c r="A713" s="380"/>
      <c r="B713" s="295"/>
      <c r="C713" s="336"/>
      <c r="D713" s="332"/>
      <c r="E713" s="332"/>
      <c r="F713" s="332"/>
      <c r="G713" s="332"/>
      <c r="H713" s="332"/>
      <c r="I713" s="332"/>
      <c r="J713" s="332"/>
      <c r="K713" s="332"/>
      <c r="L713" s="332"/>
      <c r="M713" s="332"/>
    </row>
    <row r="714" spans="1:13" ht="15.95" customHeight="1">
      <c r="A714" s="380"/>
      <c r="B714" s="295"/>
      <c r="C714" s="336"/>
      <c r="D714" s="332"/>
      <c r="E714" s="332"/>
      <c r="F714" s="332"/>
      <c r="G714" s="332"/>
      <c r="H714" s="332"/>
      <c r="I714" s="332"/>
      <c r="J714" s="332"/>
      <c r="K714" s="332"/>
      <c r="L714" s="332"/>
      <c r="M714" s="332"/>
    </row>
    <row r="715" spans="1:13" ht="15.95" customHeight="1">
      <c r="A715" s="338" t="s">
        <v>633</v>
      </c>
      <c r="B715" s="470">
        <f>'財産集計（入力シート） '!J7</f>
        <v>0</v>
      </c>
      <c r="C715" s="470">
        <f>'財産集計（入力シート） '!K7</f>
        <v>0</v>
      </c>
      <c r="D715" s="470">
        <f>'財産集計（入力シート） '!L7</f>
        <v>0</v>
      </c>
      <c r="E715" s="470">
        <f>'財産集計（入力シート） '!M7</f>
        <v>0</v>
      </c>
      <c r="F715" s="470">
        <f>'財産集計（入力シート） '!N7</f>
        <v>0</v>
      </c>
      <c r="G715" s="470">
        <f>'財産集計（入力シート） '!O7</f>
        <v>0</v>
      </c>
      <c r="H715" s="470">
        <f>'財産集計（入力シート） '!P7</f>
        <v>0</v>
      </c>
      <c r="I715" s="470">
        <f>'財産集計（入力シート） '!Q7</f>
        <v>0</v>
      </c>
      <c r="J715" s="332"/>
      <c r="K715" s="332"/>
      <c r="L715" s="332"/>
      <c r="M715" s="332"/>
    </row>
    <row r="716" spans="1:13" ht="15.95" customHeight="1">
      <c r="A716" s="301" t="s">
        <v>610</v>
      </c>
      <c r="B716" s="205">
        <f>E701</f>
        <v>0</v>
      </c>
      <c r="C716" s="205">
        <f>E702</f>
        <v>0</v>
      </c>
      <c r="D716" s="205">
        <f>E703</f>
        <v>0</v>
      </c>
      <c r="E716" s="205">
        <f>E704</f>
        <v>0</v>
      </c>
      <c r="F716" s="205">
        <f>E705</f>
        <v>0</v>
      </c>
      <c r="G716" s="205">
        <f>E706</f>
        <v>0</v>
      </c>
      <c r="H716" s="205">
        <f>E707</f>
        <v>0</v>
      </c>
      <c r="I716" s="205">
        <f>E708</f>
        <v>0</v>
      </c>
      <c r="J716" s="332"/>
      <c r="K716" s="332"/>
      <c r="L716" s="332"/>
      <c r="M716" s="332"/>
    </row>
    <row r="717" spans="1:13" ht="15.95" customHeight="1">
      <c r="A717" s="301" t="s">
        <v>611</v>
      </c>
      <c r="B717" s="205">
        <f>F701</f>
        <v>0</v>
      </c>
      <c r="C717" s="205">
        <f>F702</f>
        <v>0</v>
      </c>
      <c r="D717" s="205">
        <f>F703</f>
        <v>0</v>
      </c>
      <c r="E717" s="205">
        <f>F704</f>
        <v>0</v>
      </c>
      <c r="F717" s="205">
        <f>F705</f>
        <v>0</v>
      </c>
      <c r="G717" s="205">
        <f>F706</f>
        <v>0</v>
      </c>
      <c r="H717" s="205">
        <f>F707</f>
        <v>0</v>
      </c>
      <c r="I717" s="205">
        <f>F708</f>
        <v>0</v>
      </c>
      <c r="J717" s="332"/>
      <c r="K717" s="332"/>
      <c r="L717" s="332"/>
      <c r="M717" s="332"/>
    </row>
    <row r="718" spans="1:13" ht="15.95" customHeight="1">
      <c r="A718" s="301" t="s">
        <v>612</v>
      </c>
      <c r="B718" s="205">
        <f>G701</f>
        <v>0</v>
      </c>
      <c r="C718" s="205">
        <f>G702</f>
        <v>0</v>
      </c>
      <c r="D718" s="205">
        <f>G703</f>
        <v>0</v>
      </c>
      <c r="E718" s="205">
        <f>G704</f>
        <v>0</v>
      </c>
      <c r="F718" s="205">
        <f>G705</f>
        <v>0</v>
      </c>
      <c r="G718" s="205">
        <f>G706</f>
        <v>0</v>
      </c>
      <c r="H718" s="205">
        <f>G707</f>
        <v>0</v>
      </c>
      <c r="I718" s="205">
        <f>G708</f>
        <v>0</v>
      </c>
      <c r="J718" s="332"/>
      <c r="K718" s="332"/>
      <c r="L718" s="332"/>
      <c r="M718" s="332"/>
    </row>
    <row r="719" spans="1:13" ht="15.95" customHeight="1">
      <c r="A719" s="332"/>
      <c r="B719" s="332"/>
      <c r="C719" s="332"/>
      <c r="D719" s="332"/>
      <c r="E719" s="332"/>
      <c r="F719" s="332"/>
      <c r="G719" s="332"/>
      <c r="H719" s="332"/>
      <c r="I719" s="332"/>
      <c r="J719" s="332"/>
      <c r="K719" s="332"/>
      <c r="L719" s="332"/>
      <c r="M719" s="332"/>
    </row>
    <row r="720" spans="1:13" ht="15.95" customHeight="1">
      <c r="A720" s="380"/>
      <c r="B720" s="295"/>
      <c r="C720" s="336"/>
      <c r="D720" s="332"/>
      <c r="E720" s="332"/>
      <c r="F720" s="332"/>
      <c r="G720" s="332"/>
      <c r="H720" s="332"/>
      <c r="I720" s="332"/>
      <c r="J720" s="332"/>
      <c r="K720" s="332"/>
      <c r="L720" s="332"/>
      <c r="M720" s="332"/>
    </row>
    <row r="722" spans="1:9" ht="15.95" customHeight="1">
      <c r="A722" s="505" t="s">
        <v>252</v>
      </c>
      <c r="B722" s="505"/>
      <c r="C722" s="505"/>
      <c r="D722" s="505"/>
      <c r="E722" s="505"/>
      <c r="F722" s="505"/>
      <c r="G722" s="505"/>
      <c r="H722" s="505"/>
      <c r="I722" s="505"/>
    </row>
    <row r="723" spans="1:9" ht="15.95" customHeight="1">
      <c r="A723" s="505"/>
      <c r="B723" s="505"/>
      <c r="C723" s="505"/>
      <c r="D723" s="505"/>
      <c r="E723" s="505"/>
      <c r="F723" s="505"/>
      <c r="G723" s="505"/>
      <c r="H723" s="505"/>
      <c r="I723" s="505"/>
    </row>
    <row r="724" spans="1:9" ht="15.95" customHeight="1">
      <c r="A724" s="784" t="s">
        <v>332</v>
      </c>
      <c r="B724" s="823" t="s">
        <v>249</v>
      </c>
      <c r="C724" s="823" t="s">
        <v>250</v>
      </c>
      <c r="D724" s="835" t="s">
        <v>251</v>
      </c>
      <c r="E724" s="779"/>
      <c r="F724" s="779"/>
      <c r="G724" s="779"/>
      <c r="H724" s="779"/>
      <c r="I724" s="836"/>
    </row>
    <row r="725" spans="1:9" ht="15.95" customHeight="1">
      <c r="A725" s="785"/>
      <c r="B725" s="825"/>
      <c r="C725" s="825"/>
      <c r="D725" s="502" t="s">
        <v>209</v>
      </c>
      <c r="E725" s="502" t="s">
        <v>210</v>
      </c>
      <c r="F725" s="502" t="s">
        <v>253</v>
      </c>
      <c r="G725" s="502" t="s">
        <v>254</v>
      </c>
      <c r="H725" s="502" t="s">
        <v>213</v>
      </c>
      <c r="I725" s="502" t="s">
        <v>255</v>
      </c>
    </row>
    <row r="726" spans="1:9" ht="15.95" customHeight="1">
      <c r="A726" s="562"/>
      <c r="B726" s="554"/>
      <c r="C726" s="554"/>
      <c r="D726" s="562"/>
      <c r="E726" s="562"/>
      <c r="F726" s="502"/>
      <c r="G726" s="502"/>
      <c r="H726" s="502"/>
      <c r="I726" s="517"/>
    </row>
    <row r="727" spans="1:9" ht="15.95" customHeight="1">
      <c r="A727" s="562"/>
      <c r="B727" s="554"/>
      <c r="C727" s="554"/>
      <c r="D727" s="562"/>
      <c r="E727" s="562"/>
      <c r="F727" s="502"/>
      <c r="G727" s="502"/>
      <c r="H727" s="502"/>
      <c r="I727" s="517"/>
    </row>
    <row r="728" spans="1:9" ht="15.95" customHeight="1">
      <c r="A728" s="562"/>
      <c r="B728" s="554"/>
      <c r="C728" s="554"/>
      <c r="D728" s="502"/>
      <c r="E728" s="502"/>
      <c r="F728" s="502"/>
      <c r="G728" s="502"/>
      <c r="H728" s="502"/>
      <c r="I728" s="517"/>
    </row>
    <row r="729" spans="1:9" ht="15.95" customHeight="1">
      <c r="A729" s="562"/>
      <c r="B729" s="554"/>
      <c r="C729" s="554"/>
      <c r="D729" s="502"/>
      <c r="E729" s="502"/>
      <c r="F729" s="502"/>
      <c r="G729" s="502"/>
      <c r="H729" s="502"/>
      <c r="I729" s="517"/>
    </row>
    <row r="730" spans="1:9" ht="15.95" customHeight="1">
      <c r="A730" s="562"/>
      <c r="B730" s="554"/>
      <c r="C730" s="554"/>
      <c r="D730" s="502"/>
      <c r="E730" s="502"/>
      <c r="F730" s="502"/>
      <c r="G730" s="502"/>
      <c r="H730" s="502"/>
      <c r="I730" s="517"/>
    </row>
    <row r="731" spans="1:9" ht="15.95" customHeight="1">
      <c r="A731" s="562"/>
      <c r="B731" s="554"/>
      <c r="C731" s="554"/>
      <c r="D731" s="502"/>
      <c r="E731" s="502"/>
      <c r="F731" s="502"/>
      <c r="G731" s="502"/>
      <c r="H731" s="502"/>
      <c r="I731" s="517"/>
    </row>
    <row r="732" spans="1:9" ht="15.95" customHeight="1">
      <c r="A732" s="563"/>
      <c r="B732" s="556"/>
      <c r="C732" s="556"/>
      <c r="D732" s="504"/>
      <c r="E732" s="504"/>
      <c r="F732" s="504"/>
      <c r="G732" s="504"/>
      <c r="H732" s="504"/>
      <c r="I732" s="539"/>
    </row>
    <row r="735" spans="1:9" ht="15.95" customHeight="1">
      <c r="A735" s="282" t="s">
        <v>333</v>
      </c>
    </row>
    <row r="737" spans="1:8" ht="15.95" customHeight="1">
      <c r="A737" s="837" t="s">
        <v>334</v>
      </c>
      <c r="B737" s="837"/>
      <c r="C737" s="837"/>
      <c r="D737" s="505"/>
    </row>
    <row r="738" spans="1:8" ht="15.95" customHeight="1">
      <c r="A738" s="505"/>
      <c r="B738" s="505"/>
      <c r="C738" s="505"/>
      <c r="D738" s="505"/>
    </row>
    <row r="739" spans="1:8" ht="15.95" customHeight="1">
      <c r="A739" s="837" t="s">
        <v>335</v>
      </c>
      <c r="B739" s="837"/>
      <c r="C739" s="837"/>
      <c r="D739" s="505"/>
    </row>
    <row r="740" spans="1:8" ht="15.95" customHeight="1">
      <c r="A740" s="562"/>
      <c r="B740" s="562"/>
      <c r="C740" s="562"/>
      <c r="D740" s="562"/>
    </row>
    <row r="741" spans="1:8" ht="15.95" customHeight="1">
      <c r="A741" s="562"/>
      <c r="B741" s="562"/>
      <c r="C741" s="562"/>
      <c r="D741" s="562"/>
    </row>
    <row r="742" spans="1:8" ht="15.95" customHeight="1">
      <c r="A742" s="562"/>
      <c r="B742" s="562"/>
      <c r="C742" s="562"/>
      <c r="D742" s="562"/>
    </row>
    <row r="743" spans="1:8" ht="15.95" customHeight="1">
      <c r="A743" s="563"/>
      <c r="B743" s="563"/>
      <c r="C743" s="563"/>
      <c r="D743" s="563"/>
    </row>
    <row r="744" spans="1:8" ht="15.95" customHeight="1">
      <c r="A744" s="477"/>
      <c r="B744" s="477"/>
      <c r="C744" s="477"/>
      <c r="D744" s="477"/>
    </row>
    <row r="745" spans="1:8" ht="15.95" customHeight="1">
      <c r="A745" s="808" t="s">
        <v>339</v>
      </c>
      <c r="B745" s="808"/>
      <c r="C745" s="808"/>
      <c r="D745" s="477"/>
    </row>
    <row r="746" spans="1:8" ht="15.95" customHeight="1">
      <c r="A746" s="477"/>
      <c r="B746" s="477"/>
      <c r="C746" s="477"/>
      <c r="D746" s="477"/>
    </row>
    <row r="747" spans="1:8" ht="15.95" customHeight="1">
      <c r="A747" s="850" t="s">
        <v>336</v>
      </c>
      <c r="B747" s="850"/>
      <c r="C747" s="850"/>
      <c r="D747" s="337" t="str">
        <f>IF('財産集計（入力シート） '!R12=0,"","○")</f>
        <v>○</v>
      </c>
    </row>
    <row r="748" spans="1:8" ht="15.95" customHeight="1">
      <c r="A748" s="850" t="s">
        <v>337</v>
      </c>
      <c r="B748" s="850"/>
      <c r="C748" s="850"/>
      <c r="D748" s="337" t="str">
        <f>IF('財産集計（入力シート） '!R14=0,"","○")</f>
        <v/>
      </c>
    </row>
    <row r="749" spans="1:8" ht="15.95" customHeight="1">
      <c r="A749" s="850" t="s">
        <v>338</v>
      </c>
      <c r="B749" s="850"/>
      <c r="C749" s="850"/>
      <c r="D749" s="337" t="str">
        <f>IF('財産集計（入力シート） '!R14=0,"","○")</f>
        <v/>
      </c>
    </row>
    <row r="750" spans="1:8" ht="15.95" customHeight="1">
      <c r="A750" s="331"/>
      <c r="B750" s="331"/>
      <c r="C750" s="331"/>
      <c r="D750" s="474"/>
    </row>
    <row r="751" spans="1:8" ht="15.95" customHeight="1">
      <c r="A751" s="331"/>
      <c r="B751" s="331"/>
      <c r="C751" s="331"/>
      <c r="D751" s="474"/>
    </row>
    <row r="752" spans="1:8" ht="15.95" customHeight="1">
      <c r="A752" s="878" t="s">
        <v>340</v>
      </c>
      <c r="B752" s="878"/>
      <c r="C752" s="564"/>
      <c r="D752" s="557"/>
      <c r="E752" s="505"/>
      <c r="F752" s="505"/>
      <c r="G752" s="505"/>
      <c r="H752" s="505"/>
    </row>
    <row r="753" spans="1:8" ht="15.95" customHeight="1">
      <c r="A753" s="564"/>
      <c r="B753" s="564"/>
      <c r="C753" s="564"/>
      <c r="D753" s="557"/>
      <c r="E753" s="505"/>
      <c r="F753" s="505"/>
      <c r="G753" s="505"/>
      <c r="H753" s="505"/>
    </row>
    <row r="754" spans="1:8" ht="15.95" customHeight="1">
      <c r="A754" s="505" t="s">
        <v>256</v>
      </c>
      <c r="B754" s="505"/>
      <c r="C754" s="505"/>
      <c r="D754" s="505"/>
      <c r="E754" s="505"/>
      <c r="F754" s="505"/>
      <c r="G754" s="505"/>
      <c r="H754" s="505"/>
    </row>
    <row r="755" spans="1:8" ht="15.95" customHeight="1">
      <c r="A755" s="505"/>
      <c r="B755" s="505"/>
      <c r="C755" s="505"/>
      <c r="D755" s="505"/>
      <c r="E755" s="505"/>
      <c r="F755" s="505"/>
      <c r="G755" s="505"/>
      <c r="H755" s="505"/>
    </row>
    <row r="756" spans="1:8" ht="15.95" customHeight="1">
      <c r="A756" s="562" t="s">
        <v>341</v>
      </c>
      <c r="B756" s="502">
        <v>1</v>
      </c>
      <c r="C756" s="502">
        <v>2</v>
      </c>
      <c r="D756" s="502">
        <v>3</v>
      </c>
      <c r="E756" s="502">
        <v>4</v>
      </c>
      <c r="F756" s="502">
        <v>5</v>
      </c>
      <c r="G756" s="502">
        <v>6</v>
      </c>
      <c r="H756" s="502">
        <v>7</v>
      </c>
    </row>
    <row r="757" spans="1:8" ht="15.95" customHeight="1">
      <c r="A757" s="502"/>
      <c r="B757" s="565"/>
      <c r="C757" s="566"/>
      <c r="D757" s="562"/>
      <c r="E757" s="567"/>
      <c r="F757" s="517"/>
      <c r="G757" s="502"/>
      <c r="H757" s="502"/>
    </row>
    <row r="758" spans="1:8" ht="15.95" customHeight="1">
      <c r="A758" s="502"/>
      <c r="B758" s="565"/>
      <c r="C758" s="566"/>
      <c r="D758" s="562"/>
      <c r="E758" s="567"/>
      <c r="F758" s="517"/>
      <c r="G758" s="502"/>
      <c r="H758" s="502"/>
    </row>
    <row r="759" spans="1:8" ht="15.95" customHeight="1">
      <c r="A759" s="502"/>
      <c r="B759" s="565"/>
      <c r="C759" s="566"/>
      <c r="D759" s="562"/>
      <c r="E759" s="567"/>
      <c r="F759" s="517"/>
      <c r="G759" s="502"/>
      <c r="H759" s="502"/>
    </row>
    <row r="760" spans="1:8" ht="15.95" customHeight="1">
      <c r="A760" s="502"/>
      <c r="B760" s="565"/>
      <c r="C760" s="566"/>
      <c r="D760" s="562"/>
      <c r="E760" s="567"/>
      <c r="F760" s="517"/>
      <c r="G760" s="502"/>
      <c r="H760" s="502"/>
    </row>
    <row r="761" spans="1:8" ht="15.95" customHeight="1">
      <c r="A761" s="502"/>
      <c r="B761" s="565"/>
      <c r="C761" s="566"/>
      <c r="D761" s="562"/>
      <c r="E761" s="567"/>
      <c r="F761" s="517"/>
      <c r="G761" s="502"/>
      <c r="H761" s="502"/>
    </row>
    <row r="762" spans="1:8" ht="15.95" customHeight="1">
      <c r="A762" s="505"/>
      <c r="B762" s="505"/>
      <c r="C762" s="505"/>
      <c r="D762" s="505"/>
      <c r="E762" s="505"/>
      <c r="F762" s="505"/>
      <c r="G762" s="505"/>
      <c r="H762" s="505"/>
    </row>
    <row r="763" spans="1:8" ht="15.95" customHeight="1">
      <c r="A763" s="505" t="s">
        <v>257</v>
      </c>
      <c r="B763" s="505"/>
      <c r="C763" s="505"/>
      <c r="D763" s="505"/>
      <c r="E763" s="505"/>
      <c r="F763" s="505"/>
      <c r="G763" s="505"/>
      <c r="H763" s="505"/>
    </row>
    <row r="764" spans="1:8" ht="15.95" customHeight="1">
      <c r="A764" s="505"/>
      <c r="B764" s="505"/>
      <c r="C764" s="505"/>
      <c r="D764" s="505"/>
      <c r="E764" s="505"/>
      <c r="F764" s="505"/>
      <c r="G764" s="505"/>
      <c r="H764" s="505"/>
    </row>
    <row r="765" spans="1:8" ht="15.95" customHeight="1">
      <c r="A765" s="502"/>
      <c r="B765" s="568" t="s">
        <v>258</v>
      </c>
      <c r="C765" s="569"/>
      <c r="D765" s="568" t="s">
        <v>259</v>
      </c>
      <c r="E765" s="502"/>
      <c r="F765" s="568" t="s">
        <v>260</v>
      </c>
      <c r="G765" s="569"/>
      <c r="H765" s="505"/>
    </row>
    <row r="766" spans="1:8" ht="15.95" customHeight="1">
      <c r="A766" s="295"/>
      <c r="B766" s="361"/>
      <c r="C766" s="479"/>
      <c r="D766" s="361"/>
      <c r="E766" s="295"/>
      <c r="F766" s="361"/>
      <c r="G766" s="479"/>
    </row>
    <row r="767" spans="1:8" ht="15.95" customHeight="1">
      <c r="A767" s="295"/>
      <c r="B767" s="361"/>
      <c r="C767" s="479"/>
      <c r="D767" s="361"/>
      <c r="E767" s="295"/>
      <c r="F767" s="361"/>
      <c r="G767" s="479"/>
    </row>
    <row r="768" spans="1:8" ht="15.95" customHeight="1">
      <c r="A768" s="295"/>
      <c r="B768" s="361"/>
      <c r="C768" s="479"/>
      <c r="D768" s="361"/>
      <c r="E768" s="295"/>
      <c r="F768" s="361"/>
      <c r="G768" s="479"/>
    </row>
    <row r="769" spans="1:7" ht="15.95" customHeight="1">
      <c r="A769" s="295"/>
      <c r="B769" s="361"/>
      <c r="C769" s="479"/>
      <c r="D769" s="361"/>
      <c r="E769" s="295"/>
      <c r="F769" s="361"/>
      <c r="G769" s="479"/>
    </row>
    <row r="770" spans="1:7" ht="15.95" customHeight="1">
      <c r="A770" s="295"/>
      <c r="B770" s="361"/>
      <c r="C770" s="479"/>
      <c r="D770" s="361"/>
      <c r="E770" s="295"/>
      <c r="F770" s="361"/>
      <c r="G770" s="479"/>
    </row>
    <row r="772" spans="1:7" ht="15.95" customHeight="1">
      <c r="A772" s="505" t="s">
        <v>261</v>
      </c>
      <c r="B772" s="505"/>
      <c r="C772" s="505"/>
      <c r="D772" s="505"/>
      <c r="E772" s="505"/>
    </row>
    <row r="773" spans="1:7" ht="15.95" customHeight="1">
      <c r="A773" s="505"/>
      <c r="B773" s="505"/>
      <c r="C773" s="505"/>
      <c r="D773" s="505"/>
      <c r="E773" s="505"/>
    </row>
    <row r="774" spans="1:7" ht="15.95" customHeight="1">
      <c r="A774" s="505" t="s">
        <v>262</v>
      </c>
      <c r="B774" s="505"/>
      <c r="C774" s="505"/>
      <c r="D774" s="505"/>
      <c r="E774" s="505"/>
    </row>
    <row r="775" spans="1:7" ht="15.95" customHeight="1">
      <c r="A775" s="505"/>
      <c r="B775" s="570" t="s">
        <v>248</v>
      </c>
      <c r="C775" s="570" t="s">
        <v>342</v>
      </c>
      <c r="D775" s="570" t="s">
        <v>343</v>
      </c>
      <c r="E775" s="568" t="s">
        <v>344</v>
      </c>
    </row>
    <row r="776" spans="1:7" ht="15.95" customHeight="1">
      <c r="A776" s="823">
        <v>14</v>
      </c>
      <c r="B776" s="823"/>
      <c r="C776" s="823"/>
      <c r="D776" s="823" t="s">
        <v>263</v>
      </c>
      <c r="E776" s="569"/>
    </row>
    <row r="777" spans="1:7" ht="15.95" customHeight="1">
      <c r="A777" s="824"/>
      <c r="B777" s="824"/>
      <c r="C777" s="825"/>
      <c r="D777" s="824"/>
      <c r="E777" s="502"/>
    </row>
    <row r="778" spans="1:7" ht="15.95" customHeight="1">
      <c r="A778" s="824"/>
      <c r="B778" s="825"/>
      <c r="C778" s="502"/>
      <c r="D778" s="825"/>
      <c r="E778" s="502"/>
    </row>
    <row r="779" spans="1:7" ht="15.95" customHeight="1">
      <c r="A779" s="824"/>
      <c r="B779" s="823"/>
      <c r="C779" s="823"/>
      <c r="D779" s="823" t="s">
        <v>263</v>
      </c>
      <c r="E779" s="569"/>
    </row>
    <row r="780" spans="1:7" ht="15.95" customHeight="1">
      <c r="A780" s="824"/>
      <c r="B780" s="824"/>
      <c r="C780" s="825"/>
      <c r="D780" s="824"/>
      <c r="E780" s="502"/>
    </row>
    <row r="781" spans="1:7" ht="15.95" customHeight="1">
      <c r="A781" s="825"/>
      <c r="B781" s="825"/>
      <c r="C781" s="502"/>
      <c r="D781" s="825"/>
      <c r="E781" s="502"/>
    </row>
    <row r="782" spans="1:7" ht="15.95" customHeight="1">
      <c r="A782" s="823">
        <v>15</v>
      </c>
      <c r="B782" s="823"/>
      <c r="C782" s="823"/>
      <c r="D782" s="823" t="s">
        <v>263</v>
      </c>
      <c r="E782" s="569"/>
    </row>
    <row r="783" spans="1:7" ht="15.95" customHeight="1">
      <c r="A783" s="824"/>
      <c r="B783" s="824"/>
      <c r="C783" s="825"/>
      <c r="D783" s="824"/>
      <c r="E783" s="502"/>
    </row>
    <row r="784" spans="1:7" ht="15.95" customHeight="1">
      <c r="A784" s="824"/>
      <c r="B784" s="825"/>
      <c r="C784" s="502"/>
      <c r="D784" s="825"/>
      <c r="E784" s="502"/>
    </row>
    <row r="785" spans="1:5" ht="15.95" customHeight="1">
      <c r="A785" s="824"/>
      <c r="B785" s="823"/>
      <c r="C785" s="823"/>
      <c r="D785" s="823" t="s">
        <v>263</v>
      </c>
      <c r="E785" s="569"/>
    </row>
    <row r="786" spans="1:5" ht="15.95" customHeight="1">
      <c r="A786" s="824"/>
      <c r="B786" s="824"/>
      <c r="C786" s="825"/>
      <c r="D786" s="824"/>
      <c r="E786" s="502"/>
    </row>
    <row r="787" spans="1:5" ht="15.95" customHeight="1">
      <c r="A787" s="825"/>
      <c r="B787" s="825"/>
      <c r="C787" s="502"/>
      <c r="D787" s="825"/>
      <c r="E787" s="502"/>
    </row>
    <row r="788" spans="1:5" ht="15.95" customHeight="1">
      <c r="A788" s="823">
        <v>16</v>
      </c>
      <c r="B788" s="823"/>
      <c r="C788" s="823"/>
      <c r="D788" s="823" t="s">
        <v>264</v>
      </c>
      <c r="E788" s="569"/>
    </row>
    <row r="789" spans="1:5" ht="15.95" customHeight="1">
      <c r="A789" s="824"/>
      <c r="B789" s="824"/>
      <c r="C789" s="825"/>
      <c r="D789" s="824"/>
      <c r="E789" s="502"/>
    </row>
    <row r="790" spans="1:5" ht="15.95" customHeight="1">
      <c r="A790" s="824"/>
      <c r="B790" s="825"/>
      <c r="C790" s="502"/>
      <c r="D790" s="825"/>
      <c r="E790" s="502"/>
    </row>
    <row r="791" spans="1:5" ht="15.95" customHeight="1">
      <c r="A791" s="824"/>
      <c r="B791" s="823"/>
      <c r="C791" s="823"/>
      <c r="D791" s="823" t="s">
        <v>264</v>
      </c>
      <c r="E791" s="569"/>
    </row>
    <row r="792" spans="1:5" ht="15.95" customHeight="1">
      <c r="A792" s="824"/>
      <c r="B792" s="824"/>
      <c r="C792" s="825"/>
      <c r="D792" s="824"/>
      <c r="E792" s="502"/>
    </row>
    <row r="793" spans="1:5" ht="15.95" customHeight="1">
      <c r="A793" s="825"/>
      <c r="B793" s="825"/>
      <c r="C793" s="502"/>
      <c r="D793" s="825"/>
      <c r="E793" s="502"/>
    </row>
    <row r="794" spans="1:5" ht="15.95" customHeight="1">
      <c r="A794" s="823">
        <v>17</v>
      </c>
      <c r="B794" s="823"/>
      <c r="C794" s="823"/>
      <c r="D794" s="823" t="s">
        <v>263</v>
      </c>
      <c r="E794" s="569"/>
    </row>
    <row r="795" spans="1:5" ht="15.95" customHeight="1">
      <c r="A795" s="824"/>
      <c r="B795" s="824"/>
      <c r="C795" s="825"/>
      <c r="D795" s="824"/>
      <c r="E795" s="517"/>
    </row>
    <row r="796" spans="1:5" ht="15.95" customHeight="1">
      <c r="A796" s="824"/>
      <c r="B796" s="825"/>
      <c r="C796" s="571"/>
      <c r="D796" s="825"/>
      <c r="E796" s="566"/>
    </row>
    <row r="797" spans="1:5" ht="15.95" customHeight="1">
      <c r="A797" s="824"/>
      <c r="B797" s="823"/>
      <c r="C797" s="823"/>
      <c r="D797" s="823" t="s">
        <v>263</v>
      </c>
      <c r="E797" s="569"/>
    </row>
    <row r="798" spans="1:5" ht="15.95" customHeight="1">
      <c r="A798" s="824"/>
      <c r="B798" s="824"/>
      <c r="C798" s="825"/>
      <c r="D798" s="824"/>
      <c r="E798" s="502"/>
    </row>
    <row r="799" spans="1:5" ht="15.95" customHeight="1">
      <c r="A799" s="825"/>
      <c r="B799" s="825"/>
      <c r="C799" s="572"/>
      <c r="D799" s="825"/>
      <c r="E799" s="502"/>
    </row>
    <row r="800" spans="1:5" ht="15.95" customHeight="1">
      <c r="A800" s="823">
        <v>18</v>
      </c>
      <c r="B800" s="823"/>
      <c r="C800" s="823"/>
      <c r="D800" s="823" t="s">
        <v>264</v>
      </c>
      <c r="E800" s="569"/>
    </row>
    <row r="801" spans="1:8" ht="15.95" customHeight="1">
      <c r="A801" s="824"/>
      <c r="B801" s="824"/>
      <c r="C801" s="825"/>
      <c r="D801" s="824"/>
      <c r="E801" s="502"/>
    </row>
    <row r="802" spans="1:8" ht="15.95" customHeight="1">
      <c r="A802" s="824"/>
      <c r="B802" s="825"/>
      <c r="C802" s="572"/>
      <c r="D802" s="825"/>
      <c r="E802" s="502"/>
    </row>
    <row r="803" spans="1:8" ht="15.95" customHeight="1">
      <c r="A803" s="824"/>
      <c r="B803" s="823"/>
      <c r="C803" s="823"/>
      <c r="D803" s="823" t="s">
        <v>264</v>
      </c>
      <c r="E803" s="569"/>
    </row>
    <row r="804" spans="1:8" ht="15.95" customHeight="1">
      <c r="A804" s="824"/>
      <c r="B804" s="824"/>
      <c r="C804" s="825"/>
      <c r="D804" s="824"/>
      <c r="E804" s="502"/>
    </row>
    <row r="805" spans="1:8" ht="15.95" customHeight="1">
      <c r="A805" s="825"/>
      <c r="B805" s="825"/>
      <c r="C805" s="572"/>
      <c r="D805" s="825"/>
      <c r="E805" s="502"/>
    </row>
    <row r="806" spans="1:8" ht="15.95" customHeight="1">
      <c r="A806" s="555"/>
      <c r="B806" s="555"/>
      <c r="C806" s="504"/>
      <c r="D806" s="555"/>
      <c r="E806" s="504"/>
    </row>
    <row r="807" spans="1:8" ht="15.95" customHeight="1">
      <c r="A807" s="380"/>
      <c r="B807" s="380"/>
      <c r="C807" s="295"/>
      <c r="D807" s="380"/>
      <c r="E807" s="295"/>
    </row>
    <row r="808" spans="1:8" ht="15.95" customHeight="1">
      <c r="A808" s="380"/>
      <c r="B808" s="380"/>
      <c r="C808" s="295"/>
      <c r="D808" s="380"/>
      <c r="E808" s="295"/>
    </row>
    <row r="809" spans="1:8" ht="15.95" customHeight="1">
      <c r="A809" s="505" t="s">
        <v>265</v>
      </c>
      <c r="B809" s="505"/>
      <c r="C809" s="505"/>
      <c r="D809" s="505"/>
      <c r="E809" s="505"/>
      <c r="F809" s="505"/>
      <c r="G809" s="505"/>
      <c r="H809" s="505"/>
    </row>
    <row r="810" spans="1:8" ht="15.95" customHeight="1">
      <c r="A810" s="505"/>
      <c r="B810" s="505"/>
      <c r="C810" s="505"/>
      <c r="D810" s="505"/>
      <c r="E810" s="505"/>
      <c r="F810" s="505"/>
      <c r="G810" s="505"/>
      <c r="H810" s="505"/>
    </row>
    <row r="811" spans="1:8" ht="15.95" customHeight="1">
      <c r="A811" s="573" t="s">
        <v>229</v>
      </c>
      <c r="B811" s="823" t="s">
        <v>266</v>
      </c>
      <c r="C811" s="573" t="s">
        <v>233</v>
      </c>
      <c r="D811" s="823">
        <v>1</v>
      </c>
      <c r="E811" s="573">
        <v>2</v>
      </c>
      <c r="F811" s="573">
        <v>4</v>
      </c>
      <c r="G811" s="823">
        <v>6</v>
      </c>
      <c r="H811" s="823">
        <v>7</v>
      </c>
    </row>
    <row r="812" spans="1:8" ht="15.95" customHeight="1">
      <c r="A812" s="574" t="s">
        <v>267</v>
      </c>
      <c r="B812" s="825"/>
      <c r="C812" s="574" t="s">
        <v>268</v>
      </c>
      <c r="D812" s="825"/>
      <c r="E812" s="574">
        <v>3</v>
      </c>
      <c r="F812" s="574">
        <v>5</v>
      </c>
      <c r="G812" s="825"/>
      <c r="H812" s="825"/>
    </row>
    <row r="813" spans="1:8" ht="15.95" customHeight="1">
      <c r="A813" s="573"/>
      <c r="B813" s="823"/>
      <c r="C813" s="573"/>
      <c r="D813" s="823"/>
      <c r="E813" s="573"/>
      <c r="F813" s="573"/>
      <c r="G813" s="823"/>
      <c r="H813" s="823"/>
    </row>
    <row r="814" spans="1:8" ht="15.95" customHeight="1">
      <c r="A814" s="574"/>
      <c r="B814" s="825"/>
      <c r="C814" s="574"/>
      <c r="D814" s="825"/>
      <c r="E814" s="574"/>
      <c r="F814" s="574"/>
      <c r="G814" s="825"/>
      <c r="H814" s="825"/>
    </row>
    <row r="815" spans="1:8" ht="15.95" customHeight="1">
      <c r="A815" s="573"/>
      <c r="B815" s="823"/>
      <c r="C815" s="573"/>
      <c r="D815" s="823"/>
      <c r="E815" s="573"/>
      <c r="F815" s="573"/>
      <c r="G815" s="823"/>
      <c r="H815" s="823"/>
    </row>
    <row r="816" spans="1:8" ht="15.95" customHeight="1">
      <c r="A816" s="574"/>
      <c r="B816" s="825"/>
      <c r="C816" s="574"/>
      <c r="D816" s="825"/>
      <c r="E816" s="574"/>
      <c r="F816" s="574"/>
      <c r="G816" s="825"/>
      <c r="H816" s="825"/>
    </row>
    <row r="817" spans="1:8" ht="15.95" customHeight="1">
      <c r="A817" s="573"/>
      <c r="B817" s="823"/>
      <c r="C817" s="573"/>
      <c r="D817" s="823"/>
      <c r="E817" s="573"/>
      <c r="F817" s="573"/>
      <c r="G817" s="823"/>
      <c r="H817" s="823"/>
    </row>
    <row r="818" spans="1:8" ht="15.95" customHeight="1">
      <c r="A818" s="574"/>
      <c r="B818" s="825"/>
      <c r="C818" s="574"/>
      <c r="D818" s="825"/>
      <c r="E818" s="574"/>
      <c r="F818" s="574"/>
      <c r="G818" s="825"/>
      <c r="H818" s="825"/>
    </row>
    <row r="819" spans="1:8" ht="15.95" customHeight="1">
      <c r="A819" s="573"/>
      <c r="B819" s="823"/>
      <c r="C819" s="573"/>
      <c r="D819" s="823"/>
      <c r="E819" s="573"/>
      <c r="F819" s="573"/>
      <c r="G819" s="823"/>
      <c r="H819" s="823"/>
    </row>
    <row r="820" spans="1:8" ht="15.95" customHeight="1">
      <c r="A820" s="574"/>
      <c r="B820" s="825"/>
      <c r="C820" s="574"/>
      <c r="D820" s="825"/>
      <c r="E820" s="574"/>
      <c r="F820" s="574"/>
      <c r="G820" s="825"/>
      <c r="H820" s="825"/>
    </row>
    <row r="821" spans="1:8" ht="15.95" customHeight="1">
      <c r="A821" s="573"/>
      <c r="B821" s="823"/>
      <c r="C821" s="573"/>
      <c r="D821" s="823"/>
      <c r="E821" s="573"/>
      <c r="F821" s="573"/>
      <c r="G821" s="823"/>
      <c r="H821" s="823"/>
    </row>
    <row r="822" spans="1:8" ht="15.95" customHeight="1">
      <c r="A822" s="574"/>
      <c r="B822" s="825"/>
      <c r="C822" s="574"/>
      <c r="D822" s="825"/>
      <c r="E822" s="574"/>
      <c r="F822" s="574"/>
      <c r="G822" s="825"/>
      <c r="H822" s="825"/>
    </row>
    <row r="823" spans="1:8" ht="15.95" customHeight="1">
      <c r="A823" s="833" t="s">
        <v>223</v>
      </c>
      <c r="B823" s="575"/>
      <c r="C823" s="572"/>
      <c r="D823" s="576"/>
      <c r="E823" s="572"/>
      <c r="F823" s="572"/>
      <c r="G823" s="823"/>
      <c r="H823" s="823"/>
    </row>
    <row r="824" spans="1:8" ht="15.95" customHeight="1">
      <c r="A824" s="834"/>
      <c r="B824" s="577"/>
      <c r="C824" s="559" t="s">
        <v>269</v>
      </c>
      <c r="D824" s="560"/>
      <c r="E824" s="561">
        <v>8</v>
      </c>
      <c r="F824" s="502"/>
      <c r="G824" s="825"/>
      <c r="H824" s="825"/>
    </row>
    <row r="826" spans="1:8" ht="15.95" customHeight="1">
      <c r="A826" s="505" t="s">
        <v>270</v>
      </c>
      <c r="B826" s="505"/>
      <c r="C826" s="505"/>
      <c r="D826" s="505"/>
      <c r="E826" s="505"/>
      <c r="F826" s="505"/>
      <c r="G826" s="502" t="s">
        <v>147</v>
      </c>
      <c r="H826" s="516"/>
    </row>
    <row r="827" spans="1:8" ht="15.95" customHeight="1">
      <c r="A827" s="505"/>
      <c r="B827" s="505"/>
      <c r="C827" s="505"/>
      <c r="D827" s="505"/>
      <c r="E827" s="505"/>
      <c r="F827" s="505"/>
      <c r="G827" s="502">
        <v>1</v>
      </c>
      <c r="H827" s="502"/>
    </row>
    <row r="828" spans="1:8" ht="15.95" customHeight="1">
      <c r="A828" s="823" t="s">
        <v>271</v>
      </c>
      <c r="B828" s="829" t="s">
        <v>266</v>
      </c>
      <c r="C828" s="823"/>
      <c r="D828" s="502" t="s">
        <v>272</v>
      </c>
      <c r="E828" s="502"/>
      <c r="F828" s="505"/>
      <c r="G828" s="502">
        <v>2</v>
      </c>
      <c r="H828" s="502"/>
    </row>
    <row r="829" spans="1:8" ht="15.95" customHeight="1">
      <c r="A829" s="824"/>
      <c r="B829" s="830"/>
      <c r="C829" s="825"/>
      <c r="D829" s="502" t="s">
        <v>273</v>
      </c>
      <c r="E829" s="502"/>
      <c r="F829" s="505"/>
      <c r="G829" s="502">
        <v>3</v>
      </c>
      <c r="H829" s="502"/>
    </row>
    <row r="830" spans="1:8" ht="15.95" customHeight="1">
      <c r="A830" s="824"/>
      <c r="B830" s="502" t="s">
        <v>274</v>
      </c>
      <c r="C830" s="502"/>
      <c r="D830" s="502" t="s">
        <v>275</v>
      </c>
      <c r="E830" s="502"/>
      <c r="F830" s="505"/>
      <c r="G830" s="502">
        <v>4</v>
      </c>
      <c r="H830" s="502"/>
    </row>
    <row r="831" spans="1:8" ht="15.95" customHeight="1">
      <c r="A831" s="825"/>
      <c r="B831" s="502" t="s">
        <v>276</v>
      </c>
      <c r="C831" s="502"/>
      <c r="D831" s="831"/>
      <c r="E831" s="832"/>
      <c r="F831" s="505"/>
      <c r="G831" s="502">
        <v>5</v>
      </c>
      <c r="H831" s="502"/>
    </row>
    <row r="832" spans="1:8" ht="15.95" customHeight="1">
      <c r="A832" s="823" t="s">
        <v>220</v>
      </c>
      <c r="B832" s="829" t="s">
        <v>266</v>
      </c>
      <c r="C832" s="823"/>
      <c r="D832" s="502" t="s">
        <v>272</v>
      </c>
      <c r="E832" s="502"/>
      <c r="F832" s="505"/>
      <c r="G832" s="502">
        <v>6</v>
      </c>
      <c r="H832" s="502"/>
    </row>
    <row r="833" spans="1:9" ht="15.95" customHeight="1">
      <c r="A833" s="825"/>
      <c r="B833" s="830"/>
      <c r="C833" s="825"/>
      <c r="D833" s="502" t="s">
        <v>273</v>
      </c>
      <c r="E833" s="502"/>
      <c r="F833" s="505"/>
      <c r="G833" s="502">
        <v>7</v>
      </c>
      <c r="H833" s="502"/>
    </row>
    <row r="834" spans="1:9" ht="15.95" customHeight="1">
      <c r="A834" s="823" t="s">
        <v>277</v>
      </c>
      <c r="B834" s="829" t="s">
        <v>266</v>
      </c>
      <c r="C834" s="823"/>
      <c r="D834" s="502" t="s">
        <v>272</v>
      </c>
      <c r="E834" s="502"/>
      <c r="F834" s="505"/>
      <c r="G834" s="502">
        <v>8</v>
      </c>
      <c r="H834" s="502"/>
    </row>
    <row r="835" spans="1:9" ht="15.95" customHeight="1">
      <c r="A835" s="825"/>
      <c r="B835" s="830"/>
      <c r="C835" s="825"/>
      <c r="D835" s="502" t="s">
        <v>273</v>
      </c>
      <c r="E835" s="502"/>
      <c r="F835" s="505"/>
      <c r="G835" s="502">
        <v>9</v>
      </c>
      <c r="H835" s="502"/>
    </row>
    <row r="836" spans="1:9" ht="15.95" customHeight="1">
      <c r="A836" s="505"/>
      <c r="B836" s="505"/>
      <c r="C836" s="505"/>
      <c r="D836" s="505"/>
      <c r="E836" s="505"/>
      <c r="F836" s="505"/>
      <c r="G836" s="502">
        <v>10</v>
      </c>
      <c r="H836" s="502"/>
    </row>
    <row r="837" spans="1:9" ht="15.95" customHeight="1">
      <c r="A837" s="505"/>
      <c r="B837" s="505"/>
      <c r="C837" s="505"/>
      <c r="D837" s="505"/>
      <c r="E837" s="505"/>
      <c r="F837" s="505"/>
      <c r="G837" s="502">
        <v>11</v>
      </c>
      <c r="H837" s="502"/>
    </row>
    <row r="838" spans="1:9" ht="15.95" customHeight="1">
      <c r="A838" s="505"/>
      <c r="B838" s="505"/>
      <c r="C838" s="505"/>
      <c r="D838" s="505"/>
      <c r="E838" s="505"/>
      <c r="F838" s="505"/>
      <c r="G838" s="502">
        <v>12</v>
      </c>
      <c r="H838" s="502"/>
    </row>
    <row r="839" spans="1:9" ht="15.95" customHeight="1">
      <c r="A839" s="505"/>
      <c r="B839" s="505"/>
      <c r="C839" s="505"/>
      <c r="D839" s="505"/>
      <c r="E839" s="505"/>
      <c r="F839" s="505"/>
      <c r="G839" s="502">
        <v>13</v>
      </c>
      <c r="H839" s="502"/>
    </row>
    <row r="840" spans="1:9" ht="15.95" customHeight="1">
      <c r="A840" s="505"/>
      <c r="B840" s="505"/>
      <c r="C840" s="505"/>
      <c r="D840" s="505"/>
      <c r="E840" s="505"/>
      <c r="F840" s="505"/>
      <c r="G840" s="502">
        <v>14</v>
      </c>
      <c r="H840" s="502"/>
    </row>
    <row r="841" spans="1:9" ht="15.95" customHeight="1">
      <c r="A841" s="505"/>
      <c r="B841" s="505"/>
      <c r="C841" s="505"/>
      <c r="D841" s="505"/>
      <c r="E841" s="505"/>
      <c r="F841" s="505"/>
      <c r="G841" s="502">
        <v>15</v>
      </c>
      <c r="H841" s="502"/>
    </row>
    <row r="842" spans="1:9" ht="15.95" customHeight="1">
      <c r="A842" s="505"/>
      <c r="B842" s="505"/>
      <c r="C842" s="505"/>
      <c r="D842" s="505"/>
      <c r="E842" s="505"/>
      <c r="F842" s="505"/>
      <c r="G842" s="502">
        <v>16</v>
      </c>
      <c r="H842" s="502"/>
    </row>
    <row r="843" spans="1:9" ht="15.95" customHeight="1">
      <c r="A843" s="505"/>
      <c r="B843" s="505"/>
      <c r="C843" s="505"/>
      <c r="D843" s="505"/>
      <c r="E843" s="505"/>
      <c r="F843" s="505"/>
      <c r="G843" s="502">
        <v>17</v>
      </c>
      <c r="H843" s="502"/>
    </row>
    <row r="844" spans="1:9" ht="15.95" customHeight="1">
      <c r="A844" s="505"/>
      <c r="B844" s="505"/>
      <c r="C844" s="505"/>
      <c r="D844" s="505"/>
      <c r="E844" s="505"/>
      <c r="F844" s="505"/>
      <c r="G844" s="502">
        <v>18</v>
      </c>
      <c r="H844" s="502"/>
    </row>
    <row r="845" spans="1:9" ht="15.95" customHeight="1">
      <c r="A845" s="505"/>
      <c r="B845" s="505"/>
      <c r="C845" s="505"/>
      <c r="D845" s="505"/>
      <c r="E845" s="505"/>
      <c r="F845" s="505"/>
      <c r="G845" s="502">
        <v>19</v>
      </c>
      <c r="H845" s="502"/>
    </row>
    <row r="846" spans="1:9" ht="15.95" customHeight="1">
      <c r="A846" s="505" t="s">
        <v>278</v>
      </c>
      <c r="B846" s="505"/>
      <c r="C846" s="505"/>
      <c r="D846" s="505"/>
      <c r="E846" s="505"/>
      <c r="F846" s="505"/>
      <c r="G846" s="505"/>
      <c r="H846" s="505"/>
      <c r="I846" s="505"/>
    </row>
    <row r="847" spans="1:9" ht="15.95" customHeight="1">
      <c r="A847" s="505"/>
      <c r="B847" s="505"/>
      <c r="C847" s="505"/>
      <c r="D847" s="505"/>
      <c r="E847" s="505"/>
      <c r="F847" s="505"/>
      <c r="G847" s="505"/>
      <c r="H847" s="505"/>
      <c r="I847" s="505"/>
    </row>
    <row r="848" spans="1:9" ht="15.95" customHeight="1">
      <c r="A848" s="505" t="s">
        <v>279</v>
      </c>
      <c r="B848" s="505"/>
      <c r="C848" s="505"/>
      <c r="D848" s="505"/>
      <c r="E848" s="505"/>
      <c r="F848" s="505"/>
      <c r="G848" s="505"/>
      <c r="H848" s="505"/>
      <c r="I848" s="505"/>
    </row>
    <row r="849" spans="1:9" ht="15.95" customHeight="1">
      <c r="A849" s="505"/>
      <c r="B849" s="505"/>
      <c r="C849" s="505"/>
      <c r="D849" s="505"/>
      <c r="E849" s="505"/>
      <c r="F849" s="505"/>
      <c r="G849" s="505"/>
      <c r="H849" s="505"/>
      <c r="I849" s="505"/>
    </row>
    <row r="850" spans="1:9" ht="15.95" customHeight="1">
      <c r="A850" s="502" t="s">
        <v>233</v>
      </c>
      <c r="B850" s="502" t="s">
        <v>229</v>
      </c>
      <c r="C850" s="502" t="s">
        <v>280</v>
      </c>
      <c r="D850" s="502" t="s">
        <v>281</v>
      </c>
      <c r="E850" s="502" t="s">
        <v>282</v>
      </c>
      <c r="F850" s="502">
        <v>1</v>
      </c>
      <c r="G850" s="502">
        <v>2</v>
      </c>
      <c r="H850" s="502">
        <v>3</v>
      </c>
      <c r="I850" s="502">
        <v>4</v>
      </c>
    </row>
    <row r="851" spans="1:9" ht="15.95" customHeight="1">
      <c r="A851" s="502"/>
      <c r="B851" s="502"/>
      <c r="C851" s="502"/>
      <c r="D851" s="502"/>
      <c r="E851" s="502"/>
      <c r="F851" s="502"/>
      <c r="G851" s="502"/>
      <c r="H851" s="502"/>
      <c r="I851" s="502"/>
    </row>
    <row r="852" spans="1:9" ht="15.95" customHeight="1">
      <c r="A852" s="502"/>
      <c r="B852" s="502"/>
      <c r="C852" s="502"/>
      <c r="D852" s="502"/>
      <c r="E852" s="502"/>
      <c r="F852" s="502"/>
      <c r="G852" s="502"/>
      <c r="H852" s="502"/>
      <c r="I852" s="502"/>
    </row>
    <row r="853" spans="1:9" ht="15.95" customHeight="1">
      <c r="A853" s="502"/>
      <c r="B853" s="502"/>
      <c r="C853" s="502"/>
      <c r="D853" s="502"/>
      <c r="E853" s="502"/>
      <c r="F853" s="502"/>
      <c r="G853" s="502"/>
      <c r="H853" s="502"/>
      <c r="I853" s="502"/>
    </row>
    <row r="854" spans="1:9" ht="15.95" customHeight="1">
      <c r="A854" s="502"/>
      <c r="B854" s="502"/>
      <c r="C854" s="502"/>
      <c r="D854" s="502"/>
      <c r="E854" s="502"/>
      <c r="F854" s="502"/>
      <c r="G854" s="502"/>
      <c r="H854" s="502"/>
      <c r="I854" s="502"/>
    </row>
    <row r="855" spans="1:9" ht="15.95" customHeight="1">
      <c r="A855" s="823" t="s">
        <v>223</v>
      </c>
      <c r="B855" s="826"/>
      <c r="C855" s="826"/>
      <c r="D855" s="502" t="s">
        <v>283</v>
      </c>
      <c r="E855" s="502"/>
      <c r="F855" s="502"/>
      <c r="G855" s="502"/>
      <c r="H855" s="502"/>
      <c r="I855" s="502"/>
    </row>
    <row r="856" spans="1:9" ht="15.95" customHeight="1">
      <c r="A856" s="824"/>
      <c r="B856" s="827"/>
      <c r="C856" s="827"/>
      <c r="D856" s="502" t="s">
        <v>284</v>
      </c>
      <c r="E856" s="502"/>
      <c r="F856" s="502"/>
      <c r="G856" s="502"/>
      <c r="H856" s="502"/>
      <c r="I856" s="502"/>
    </row>
    <row r="857" spans="1:9" ht="15.95" customHeight="1">
      <c r="A857" s="825"/>
      <c r="B857" s="828"/>
      <c r="C857" s="828"/>
      <c r="D857" s="502" t="s">
        <v>223</v>
      </c>
      <c r="E857" s="572"/>
      <c r="F857" s="578" t="s">
        <v>175</v>
      </c>
      <c r="G857" s="502"/>
      <c r="H857" s="502"/>
      <c r="I857" s="502"/>
    </row>
    <row r="858" spans="1:9" ht="15.95" customHeight="1">
      <c r="A858" s="505"/>
      <c r="B858" s="505"/>
      <c r="C858" s="505"/>
      <c r="D858" s="505"/>
      <c r="E858" s="505"/>
      <c r="F858" s="505"/>
      <c r="G858" s="505"/>
      <c r="H858" s="505"/>
      <c r="I858" s="505"/>
    </row>
    <row r="859" spans="1:9" ht="15.95" customHeight="1">
      <c r="A859" s="505" t="s">
        <v>285</v>
      </c>
      <c r="B859" s="505"/>
      <c r="C859" s="505"/>
      <c r="D859" s="505"/>
      <c r="E859" s="505"/>
      <c r="F859" s="505"/>
      <c r="G859" s="505"/>
      <c r="H859" s="505"/>
      <c r="I859" s="505"/>
    </row>
    <row r="860" spans="1:9" ht="15.95" customHeight="1">
      <c r="A860" s="505"/>
      <c r="B860" s="505"/>
      <c r="C860" s="505"/>
      <c r="D860" s="505"/>
      <c r="E860" s="505"/>
      <c r="F860" s="505"/>
      <c r="G860" s="505"/>
      <c r="H860" s="505"/>
      <c r="I860" s="505"/>
    </row>
    <row r="861" spans="1:9" ht="15.95" customHeight="1">
      <c r="A861" s="502" t="s">
        <v>233</v>
      </c>
      <c r="B861" s="502" t="s">
        <v>229</v>
      </c>
      <c r="C861" s="502" t="s">
        <v>280</v>
      </c>
      <c r="D861" s="502" t="s">
        <v>281</v>
      </c>
      <c r="E861" s="502" t="s">
        <v>282</v>
      </c>
      <c r="F861" s="502">
        <v>1</v>
      </c>
      <c r="G861" s="502">
        <v>2</v>
      </c>
      <c r="H861" s="502">
        <v>3</v>
      </c>
      <c r="I861" s="502">
        <v>4</v>
      </c>
    </row>
    <row r="862" spans="1:9" ht="15.95" customHeight="1">
      <c r="A862" s="502"/>
      <c r="B862" s="502"/>
      <c r="C862" s="502"/>
      <c r="D862" s="502"/>
      <c r="E862" s="502"/>
      <c r="F862" s="502"/>
      <c r="G862" s="502"/>
      <c r="H862" s="502"/>
      <c r="I862" s="502"/>
    </row>
    <row r="863" spans="1:9" ht="15.95" customHeight="1">
      <c r="A863" s="502"/>
      <c r="B863" s="502"/>
      <c r="C863" s="502"/>
      <c r="D863" s="502"/>
      <c r="E863" s="502"/>
      <c r="F863" s="502"/>
      <c r="G863" s="502"/>
      <c r="H863" s="502"/>
      <c r="I863" s="502"/>
    </row>
    <row r="864" spans="1:9" ht="15.95" customHeight="1">
      <c r="A864" s="502"/>
      <c r="B864" s="502"/>
      <c r="C864" s="502"/>
      <c r="D864" s="502"/>
      <c r="E864" s="502"/>
      <c r="F864" s="502"/>
      <c r="G864" s="502"/>
      <c r="H864" s="502"/>
      <c r="I864" s="502"/>
    </row>
    <row r="865" spans="1:9" ht="15.95" customHeight="1">
      <c r="A865" s="502"/>
      <c r="B865" s="502"/>
      <c r="C865" s="502"/>
      <c r="D865" s="502"/>
      <c r="E865" s="502"/>
      <c r="F865" s="502"/>
      <c r="G865" s="502"/>
      <c r="H865" s="502"/>
      <c r="I865" s="502"/>
    </row>
    <row r="866" spans="1:9" ht="15.95" customHeight="1">
      <c r="A866" s="823" t="s">
        <v>223</v>
      </c>
      <c r="B866" s="826"/>
      <c r="C866" s="826"/>
      <c r="D866" s="502" t="s">
        <v>283</v>
      </c>
      <c r="E866" s="502"/>
      <c r="F866" s="502"/>
      <c r="G866" s="502"/>
      <c r="H866" s="502"/>
      <c r="I866" s="502"/>
    </row>
    <row r="867" spans="1:9" ht="15.95" customHeight="1">
      <c r="A867" s="824"/>
      <c r="B867" s="827"/>
      <c r="C867" s="827"/>
      <c r="D867" s="502" t="s">
        <v>284</v>
      </c>
      <c r="E867" s="502"/>
      <c r="F867" s="502"/>
      <c r="G867" s="502"/>
      <c r="H867" s="502"/>
      <c r="I867" s="502"/>
    </row>
    <row r="868" spans="1:9" ht="15.95" customHeight="1">
      <c r="A868" s="825"/>
      <c r="B868" s="828"/>
      <c r="C868" s="828"/>
      <c r="D868" s="502" t="s">
        <v>223</v>
      </c>
      <c r="E868" s="572"/>
      <c r="F868" s="578" t="s">
        <v>286</v>
      </c>
      <c r="G868" s="502"/>
      <c r="H868" s="502"/>
      <c r="I868" s="502"/>
    </row>
    <row r="869" spans="1:9" ht="15.95" customHeight="1">
      <c r="A869" s="504"/>
      <c r="B869" s="504"/>
      <c r="C869" s="504"/>
      <c r="D869" s="504"/>
      <c r="E869" s="504"/>
      <c r="F869" s="504"/>
      <c r="G869" s="504"/>
      <c r="H869" s="504"/>
      <c r="I869" s="504"/>
    </row>
    <row r="870" spans="1:9" ht="15.95" customHeight="1">
      <c r="A870" s="505" t="s">
        <v>287</v>
      </c>
      <c r="B870" s="504"/>
      <c r="C870" s="504"/>
      <c r="D870" s="504"/>
      <c r="E870" s="504"/>
      <c r="F870" s="504"/>
      <c r="G870" s="504"/>
      <c r="H870" s="504"/>
      <c r="I870" s="504"/>
    </row>
    <row r="871" spans="1:9" ht="15.95" customHeight="1">
      <c r="A871" s="505"/>
      <c r="B871" s="504"/>
      <c r="C871" s="504"/>
      <c r="D871" s="504"/>
      <c r="E871" s="504"/>
      <c r="F871" s="504"/>
      <c r="G871" s="504"/>
      <c r="H871" s="504"/>
      <c r="I871" s="504"/>
    </row>
    <row r="872" spans="1:9" ht="15.95" customHeight="1">
      <c r="A872" s="502"/>
      <c r="B872" s="504"/>
      <c r="C872" s="504"/>
      <c r="D872" s="504"/>
      <c r="E872" s="504"/>
      <c r="F872" s="504"/>
      <c r="G872" s="504"/>
      <c r="H872" s="504"/>
      <c r="I872" s="504"/>
    </row>
    <row r="873" spans="1:9" ht="15.95" customHeight="1">
      <c r="A873" s="504"/>
      <c r="B873" s="504"/>
      <c r="C873" s="504"/>
      <c r="D873" s="504"/>
      <c r="E873" s="504"/>
      <c r="F873" s="504"/>
      <c r="G873" s="504"/>
      <c r="H873" s="504"/>
      <c r="I873" s="504"/>
    </row>
    <row r="883" spans="1:7" ht="15.95" customHeight="1">
      <c r="A883" s="282" t="s">
        <v>578</v>
      </c>
    </row>
    <row r="884" spans="1:7" ht="15.95" customHeight="1">
      <c r="A884" s="788" t="s">
        <v>579</v>
      </c>
      <c r="B884" s="788"/>
      <c r="C884" s="788"/>
      <c r="D884" s="788"/>
    </row>
    <row r="886" spans="1:7" ht="15.95" customHeight="1">
      <c r="A886" s="789" t="s">
        <v>635</v>
      </c>
      <c r="B886" s="789" t="s">
        <v>634</v>
      </c>
      <c r="C886" s="786" t="s">
        <v>580</v>
      </c>
      <c r="D886" s="786" t="s">
        <v>581</v>
      </c>
      <c r="E886" s="791" t="s">
        <v>582</v>
      </c>
      <c r="F886" s="792"/>
      <c r="G886" s="786" t="s">
        <v>585</v>
      </c>
    </row>
    <row r="887" spans="1:7" ht="15.95" customHeight="1">
      <c r="A887" s="790"/>
      <c r="B887" s="790"/>
      <c r="C887" s="787"/>
      <c r="D887" s="787"/>
      <c r="E887" s="337" t="s">
        <v>583</v>
      </c>
      <c r="F887" s="337" t="s">
        <v>584</v>
      </c>
      <c r="G887" s="787"/>
    </row>
    <row r="888" spans="1:7" ht="15.95" customHeight="1">
      <c r="A888" s="502"/>
      <c r="B888" s="502"/>
      <c r="C888" s="502"/>
      <c r="D888" s="567"/>
      <c r="E888" s="517"/>
      <c r="F888" s="517"/>
      <c r="G888" s="517"/>
    </row>
    <row r="889" spans="1:7" ht="15.95" customHeight="1">
      <c r="A889" s="502"/>
      <c r="B889" s="502"/>
      <c r="C889" s="502"/>
      <c r="D889" s="567"/>
      <c r="E889" s="517"/>
      <c r="F889" s="517"/>
      <c r="G889" s="517"/>
    </row>
    <row r="890" spans="1:7" ht="15.95" customHeight="1">
      <c r="A890" s="502"/>
      <c r="B890" s="502"/>
      <c r="C890" s="502"/>
      <c r="D890" s="567"/>
      <c r="E890" s="517"/>
      <c r="F890" s="517"/>
      <c r="G890" s="517"/>
    </row>
    <row r="891" spans="1:7" ht="15.95" customHeight="1">
      <c r="A891" s="502"/>
      <c r="B891" s="502"/>
      <c r="C891" s="502"/>
      <c r="D891" s="567"/>
      <c r="E891" s="517"/>
      <c r="F891" s="517"/>
      <c r="G891" s="517"/>
    </row>
    <row r="892" spans="1:7" ht="15.95" customHeight="1">
      <c r="A892" s="502"/>
      <c r="B892" s="502"/>
      <c r="C892" s="502"/>
      <c r="D892" s="567"/>
      <c r="E892" s="517"/>
      <c r="F892" s="517"/>
      <c r="G892" s="517"/>
    </row>
    <row r="893" spans="1:7" ht="15.95" customHeight="1">
      <c r="A893" s="502"/>
      <c r="B893" s="502"/>
      <c r="C893" s="502"/>
      <c r="D893" s="567"/>
      <c r="E893" s="517"/>
      <c r="F893" s="517"/>
      <c r="G893" s="517"/>
    </row>
    <row r="894" spans="1:7" ht="15.95" customHeight="1">
      <c r="A894" s="502"/>
      <c r="B894" s="502"/>
      <c r="C894" s="502"/>
      <c r="D894" s="567"/>
      <c r="E894" s="517"/>
      <c r="F894" s="517"/>
      <c r="G894" s="517"/>
    </row>
    <row r="895" spans="1:7" ht="15.95" customHeight="1">
      <c r="A895" s="502"/>
      <c r="B895" s="502"/>
      <c r="C895" s="502"/>
      <c r="D895" s="567"/>
      <c r="E895" s="517"/>
      <c r="F895" s="517"/>
      <c r="G895" s="517"/>
    </row>
    <row r="896" spans="1:7" ht="15.95" customHeight="1">
      <c r="A896" s="502"/>
      <c r="B896" s="502"/>
      <c r="C896" s="502"/>
      <c r="D896" s="567"/>
      <c r="E896" s="517"/>
      <c r="F896" s="517"/>
      <c r="G896" s="517"/>
    </row>
    <row r="897" spans="1:7" ht="15.95" customHeight="1">
      <c r="A897" s="502"/>
      <c r="B897" s="502"/>
      <c r="C897" s="502"/>
      <c r="D897" s="567"/>
      <c r="E897" s="517"/>
      <c r="F897" s="517"/>
      <c r="G897" s="517"/>
    </row>
    <row r="898" spans="1:7" ht="15.95" customHeight="1">
      <c r="A898" s="502"/>
      <c r="B898" s="502"/>
      <c r="C898" s="502"/>
      <c r="D898" s="567"/>
      <c r="E898" s="517"/>
      <c r="F898" s="517"/>
      <c r="G898" s="517"/>
    </row>
    <row r="899" spans="1:7" ht="15.95" customHeight="1">
      <c r="A899" s="502"/>
      <c r="B899" s="502"/>
      <c r="C899" s="502"/>
      <c r="D899" s="567"/>
      <c r="E899" s="517"/>
      <c r="F899" s="517"/>
      <c r="G899" s="517"/>
    </row>
    <row r="900" spans="1:7" ht="15.95" customHeight="1">
      <c r="A900" s="502"/>
      <c r="B900" s="502"/>
      <c r="C900" s="502"/>
      <c r="D900" s="567"/>
      <c r="E900" s="517"/>
      <c r="F900" s="517"/>
      <c r="G900" s="517"/>
    </row>
    <row r="901" spans="1:7" ht="15.95" customHeight="1">
      <c r="A901" s="502"/>
      <c r="B901" s="502"/>
      <c r="C901" s="502"/>
      <c r="D901" s="567"/>
      <c r="E901" s="517"/>
      <c r="F901" s="517"/>
      <c r="G901" s="517"/>
    </row>
    <row r="902" spans="1:7" ht="15.95" customHeight="1">
      <c r="A902" s="502"/>
      <c r="B902" s="502"/>
      <c r="C902" s="502"/>
      <c r="D902" s="567"/>
      <c r="E902" s="517"/>
      <c r="F902" s="517"/>
      <c r="G902" s="517"/>
    </row>
    <row r="903" spans="1:7" ht="15.95" customHeight="1">
      <c r="A903" s="346"/>
      <c r="B903" s="346"/>
      <c r="C903" s="301" t="s">
        <v>223</v>
      </c>
      <c r="D903" s="478"/>
      <c r="E903" s="346"/>
      <c r="F903" s="481">
        <f>SUM(F888:F902)</f>
        <v>0</v>
      </c>
      <c r="G903" s="481">
        <f>SUM(G888:G902)</f>
        <v>0</v>
      </c>
    </row>
    <row r="904" spans="1:7" ht="15.95" customHeight="1">
      <c r="F904" s="482" t="s">
        <v>589</v>
      </c>
      <c r="G904" s="482" t="s">
        <v>175</v>
      </c>
    </row>
    <row r="905" spans="1:7" ht="15.95" customHeight="1">
      <c r="A905" s="483" t="s">
        <v>288</v>
      </c>
      <c r="B905" s="483"/>
    </row>
    <row r="907" spans="1:7" ht="15.95" customHeight="1">
      <c r="A907" s="340" t="s">
        <v>622</v>
      </c>
      <c r="B907" s="340" t="s">
        <v>586</v>
      </c>
      <c r="C907" s="340" t="s">
        <v>587</v>
      </c>
      <c r="D907" s="340" t="s">
        <v>588</v>
      </c>
      <c r="E907" s="340" t="s">
        <v>590</v>
      </c>
    </row>
    <row r="908" spans="1:7" ht="15.95" customHeight="1">
      <c r="A908" s="205">
        <f>IF(D153=0,0,G903)</f>
        <v>0</v>
      </c>
      <c r="B908" s="205">
        <f>IF(D153=0,0,F903)</f>
        <v>0</v>
      </c>
      <c r="C908" s="205">
        <f>A908-B908</f>
        <v>0</v>
      </c>
      <c r="D908" s="205">
        <f>IF(D153=0,0,'財産集計（入力シート） '!E47)</f>
        <v>0</v>
      </c>
      <c r="E908" s="205">
        <f>D908-C908</f>
        <v>0</v>
      </c>
    </row>
    <row r="920" spans="1:8" ht="15.95" customHeight="1">
      <c r="A920" s="282" t="s">
        <v>289</v>
      </c>
    </row>
    <row r="922" spans="1:8" ht="15.95" customHeight="1">
      <c r="A922" s="505" t="s">
        <v>290</v>
      </c>
      <c r="B922" s="505"/>
      <c r="C922" s="505"/>
      <c r="D922" s="505"/>
      <c r="E922" s="505"/>
      <c r="F922" s="505"/>
      <c r="G922" s="505"/>
      <c r="H922" s="505"/>
    </row>
    <row r="923" spans="1:8" ht="15.95" customHeight="1">
      <c r="A923" s="505"/>
      <c r="B923" s="505"/>
      <c r="C923" s="505"/>
      <c r="D923" s="505"/>
      <c r="E923" s="505"/>
      <c r="F923" s="505"/>
      <c r="G923" s="505"/>
      <c r="H923" s="505"/>
    </row>
    <row r="924" spans="1:8" ht="15.95" customHeight="1">
      <c r="A924" s="888" t="s">
        <v>209</v>
      </c>
      <c r="B924" s="888" t="s">
        <v>210</v>
      </c>
      <c r="C924" s="886" t="s">
        <v>637</v>
      </c>
      <c r="D924" s="887"/>
      <c r="E924" s="562" t="s">
        <v>638</v>
      </c>
      <c r="F924" s="890" t="s">
        <v>230</v>
      </c>
      <c r="G924" s="892" t="s">
        <v>642</v>
      </c>
      <c r="H924" s="893"/>
    </row>
    <row r="925" spans="1:8" ht="15.95" customHeight="1">
      <c r="A925" s="889"/>
      <c r="B925" s="889"/>
      <c r="C925" s="554" t="s">
        <v>636</v>
      </c>
      <c r="D925" s="562" t="s">
        <v>227</v>
      </c>
      <c r="E925" s="562" t="s">
        <v>639</v>
      </c>
      <c r="F925" s="891"/>
      <c r="G925" s="579" t="s">
        <v>640</v>
      </c>
      <c r="H925" s="580" t="s">
        <v>641</v>
      </c>
    </row>
    <row r="926" spans="1:8" ht="15.95" customHeight="1">
      <c r="A926" s="502"/>
      <c r="B926" s="502"/>
      <c r="C926" s="502"/>
      <c r="D926" s="502"/>
      <c r="E926" s="516" t="s">
        <v>291</v>
      </c>
      <c r="F926" s="517"/>
      <c r="G926" s="579"/>
      <c r="H926" s="517"/>
    </row>
    <row r="927" spans="1:8" ht="15.95" customHeight="1">
      <c r="A927" s="502"/>
      <c r="B927" s="502"/>
      <c r="C927" s="502"/>
      <c r="D927" s="502"/>
      <c r="E927" s="516" t="s">
        <v>291</v>
      </c>
      <c r="F927" s="517"/>
      <c r="G927" s="579"/>
      <c r="H927" s="517"/>
    </row>
    <row r="928" spans="1:8" ht="15.95" customHeight="1">
      <c r="A928" s="502"/>
      <c r="B928" s="502"/>
      <c r="C928" s="502"/>
      <c r="D928" s="502"/>
      <c r="E928" s="516" t="s">
        <v>291</v>
      </c>
      <c r="F928" s="517"/>
      <c r="G928" s="579"/>
      <c r="H928" s="517"/>
    </row>
    <row r="929" spans="1:8" ht="15.95" customHeight="1">
      <c r="A929" s="502"/>
      <c r="B929" s="502"/>
      <c r="C929" s="502"/>
      <c r="D929" s="502"/>
      <c r="E929" s="516" t="s">
        <v>291</v>
      </c>
      <c r="F929" s="517"/>
      <c r="G929" s="579"/>
      <c r="H929" s="517"/>
    </row>
    <row r="930" spans="1:8" ht="15.95" customHeight="1">
      <c r="A930" s="502"/>
      <c r="B930" s="502"/>
      <c r="C930" s="502"/>
      <c r="D930" s="502"/>
      <c r="E930" s="516" t="s">
        <v>291</v>
      </c>
      <c r="F930" s="517"/>
      <c r="G930" s="579"/>
      <c r="H930" s="517"/>
    </row>
    <row r="931" spans="1:8" ht="15.95" customHeight="1">
      <c r="A931" s="502"/>
      <c r="B931" s="502"/>
      <c r="C931" s="502"/>
      <c r="D931" s="502"/>
      <c r="E931" s="516" t="s">
        <v>291</v>
      </c>
      <c r="F931" s="517"/>
      <c r="G931" s="579"/>
      <c r="H931" s="517"/>
    </row>
    <row r="932" spans="1:8" ht="15.95" customHeight="1">
      <c r="A932" s="502"/>
      <c r="B932" s="502"/>
      <c r="C932" s="502"/>
      <c r="D932" s="502"/>
      <c r="E932" s="516" t="s">
        <v>291</v>
      </c>
      <c r="F932" s="517"/>
      <c r="G932" s="579"/>
      <c r="H932" s="517"/>
    </row>
    <row r="933" spans="1:8" ht="15.95" customHeight="1">
      <c r="A933" s="502"/>
      <c r="B933" s="502"/>
      <c r="C933" s="502"/>
      <c r="D933" s="502"/>
      <c r="E933" s="516" t="s">
        <v>291</v>
      </c>
      <c r="F933" s="517"/>
      <c r="G933" s="579"/>
      <c r="H933" s="517"/>
    </row>
    <row r="934" spans="1:8" ht="15.95" customHeight="1">
      <c r="A934" s="502"/>
      <c r="B934" s="502"/>
      <c r="C934" s="502"/>
      <c r="D934" s="502"/>
      <c r="E934" s="516" t="s">
        <v>291</v>
      </c>
      <c r="F934" s="517"/>
      <c r="G934" s="579"/>
      <c r="H934" s="517"/>
    </row>
    <row r="935" spans="1:8" ht="15.95" customHeight="1">
      <c r="A935" s="469" t="s">
        <v>223</v>
      </c>
      <c r="B935" s="502"/>
      <c r="C935" s="502"/>
      <c r="D935" s="502"/>
      <c r="E935" s="516" t="s">
        <v>291</v>
      </c>
      <c r="F935" s="205">
        <f>'財産集計（入力シート） '!R42</f>
        <v>23965526</v>
      </c>
      <c r="G935" s="484"/>
      <c r="H935" s="484"/>
    </row>
    <row r="937" spans="1:8" ht="15.95" customHeight="1">
      <c r="A937" s="282" t="s">
        <v>292</v>
      </c>
    </row>
    <row r="939" spans="1:8" ht="15.95" customHeight="1">
      <c r="A939" s="502" t="s">
        <v>345</v>
      </c>
      <c r="B939" s="502"/>
      <c r="C939" s="516" t="s">
        <v>291</v>
      </c>
      <c r="D939" s="517"/>
      <c r="E939" s="579"/>
      <c r="F939" s="517"/>
    </row>
    <row r="940" spans="1:8" ht="15.95" customHeight="1">
      <c r="A940" s="502"/>
      <c r="B940" s="502"/>
      <c r="C940" s="516" t="s">
        <v>291</v>
      </c>
      <c r="D940" s="517"/>
      <c r="E940" s="502"/>
      <c r="F940" s="517"/>
    </row>
    <row r="941" spans="1:8" ht="15.95" customHeight="1">
      <c r="A941" s="502"/>
      <c r="B941" s="502"/>
      <c r="C941" s="516" t="s">
        <v>291</v>
      </c>
      <c r="D941" s="517"/>
      <c r="E941" s="502"/>
      <c r="F941" s="517"/>
    </row>
    <row r="942" spans="1:8" ht="15.95" customHeight="1">
      <c r="A942" s="502"/>
      <c r="B942" s="502"/>
      <c r="C942" s="516" t="s">
        <v>291</v>
      </c>
      <c r="D942" s="517"/>
      <c r="E942" s="502"/>
      <c r="F942" s="517"/>
    </row>
    <row r="943" spans="1:8" ht="15.95" customHeight="1">
      <c r="A943" s="502"/>
      <c r="B943" s="502"/>
      <c r="C943" s="516" t="s">
        <v>291</v>
      </c>
      <c r="D943" s="517"/>
      <c r="E943" s="502"/>
      <c r="F943" s="517"/>
    </row>
    <row r="944" spans="1:8" ht="15.95" customHeight="1">
      <c r="A944" s="502"/>
      <c r="B944" s="502"/>
      <c r="C944" s="516" t="s">
        <v>291</v>
      </c>
      <c r="D944" s="517"/>
      <c r="E944" s="502"/>
      <c r="F944" s="517"/>
    </row>
    <row r="945" spans="1:6" ht="15.95" customHeight="1">
      <c r="A945" s="301" t="s">
        <v>223</v>
      </c>
      <c r="B945" s="502"/>
      <c r="C945" s="338" t="s">
        <v>291</v>
      </c>
      <c r="D945" s="205">
        <f>'財産集計（入力シート） '!R43</f>
        <v>3995426</v>
      </c>
      <c r="E945" s="484"/>
      <c r="F945" s="484"/>
    </row>
    <row r="947" spans="1:6" ht="15.95" customHeight="1">
      <c r="A947" s="282" t="s">
        <v>293</v>
      </c>
    </row>
    <row r="949" spans="1:6" ht="15.95" customHeight="1">
      <c r="A949" s="338"/>
      <c r="B949" s="579"/>
      <c r="C949" s="502"/>
      <c r="D949" s="502"/>
      <c r="E949" s="502"/>
      <c r="F949" s="485" t="s">
        <v>223</v>
      </c>
    </row>
    <row r="950" spans="1:6" ht="15.95" customHeight="1">
      <c r="A950" s="340" t="s">
        <v>510</v>
      </c>
      <c r="B950" s="517"/>
      <c r="C950" s="517"/>
      <c r="D950" s="502"/>
      <c r="E950" s="502"/>
      <c r="F950" s="301"/>
    </row>
    <row r="951" spans="1:6" ht="15.95" customHeight="1">
      <c r="A951" s="340" t="s">
        <v>509</v>
      </c>
      <c r="B951" s="517"/>
      <c r="C951" s="502"/>
      <c r="D951" s="502"/>
      <c r="E951" s="502"/>
      <c r="F951" s="301"/>
    </row>
    <row r="952" spans="1:6" ht="15.95" customHeight="1">
      <c r="A952" s="485" t="s">
        <v>507</v>
      </c>
      <c r="B952" s="517"/>
      <c r="C952" s="502"/>
      <c r="D952" s="502"/>
      <c r="E952" s="502"/>
      <c r="F952" s="345">
        <f>'財産集計（入力シート） '!R42</f>
        <v>23965526</v>
      </c>
    </row>
    <row r="953" spans="1:6" ht="15.95" customHeight="1">
      <c r="A953" s="340" t="s">
        <v>511</v>
      </c>
      <c r="B953" s="517"/>
      <c r="C953" s="517"/>
      <c r="D953" s="502"/>
      <c r="E953" s="502"/>
      <c r="F953" s="301"/>
    </row>
    <row r="954" spans="1:6" ht="15.95" customHeight="1">
      <c r="A954" s="340" t="s">
        <v>512</v>
      </c>
      <c r="B954" s="517"/>
      <c r="C954" s="502"/>
      <c r="D954" s="502"/>
      <c r="E954" s="502"/>
      <c r="F954" s="301"/>
    </row>
    <row r="955" spans="1:6" ht="15.95" customHeight="1">
      <c r="A955" s="485" t="s">
        <v>508</v>
      </c>
      <c r="B955" s="517"/>
      <c r="C955" s="502"/>
      <c r="D955" s="502"/>
      <c r="E955" s="502"/>
      <c r="F955" s="492">
        <f>'財産集計（入力シート） '!R43</f>
        <v>3995426</v>
      </c>
    </row>
    <row r="956" spans="1:6" ht="15.95" customHeight="1">
      <c r="A956" s="485" t="s">
        <v>223</v>
      </c>
      <c r="B956" s="566"/>
      <c r="C956" s="566"/>
      <c r="D956" s="502"/>
      <c r="E956" s="502"/>
      <c r="F956" s="345">
        <f>F952+F955</f>
        <v>27960952</v>
      </c>
    </row>
    <row r="957" spans="1:6" ht="15.95" customHeight="1">
      <c r="A957" s="282" t="s">
        <v>294</v>
      </c>
    </row>
    <row r="959" spans="1:6" ht="15.95" customHeight="1">
      <c r="A959" s="282" t="s">
        <v>295</v>
      </c>
    </row>
    <row r="961" spans="1:9" ht="15.95" customHeight="1">
      <c r="A961" s="579" t="s">
        <v>332</v>
      </c>
      <c r="B961" s="579" t="s">
        <v>276</v>
      </c>
      <c r="C961" s="579" t="s">
        <v>209</v>
      </c>
      <c r="D961" s="579" t="s">
        <v>210</v>
      </c>
      <c r="E961" s="337" t="s">
        <v>212</v>
      </c>
      <c r="F961" s="337" t="s">
        <v>213</v>
      </c>
      <c r="G961" s="338">
        <v>1</v>
      </c>
      <c r="H961" s="338">
        <v>2</v>
      </c>
      <c r="I961" s="338">
        <v>3</v>
      </c>
    </row>
    <row r="962" spans="1:9" ht="15.95" customHeight="1">
      <c r="A962" s="579"/>
      <c r="B962" s="516"/>
      <c r="C962" s="502"/>
      <c r="D962" s="502"/>
      <c r="E962" s="502"/>
      <c r="F962" s="502"/>
      <c r="G962" s="517"/>
      <c r="H962" s="517"/>
      <c r="I962" s="517"/>
    </row>
    <row r="963" spans="1:9" ht="15.95" customHeight="1">
      <c r="A963" s="579"/>
      <c r="B963" s="516"/>
      <c r="C963" s="502"/>
      <c r="D963" s="502"/>
      <c r="E963" s="502"/>
      <c r="F963" s="502"/>
      <c r="G963" s="517"/>
      <c r="H963" s="517"/>
      <c r="I963" s="517"/>
    </row>
    <row r="964" spans="1:9" ht="15.95" customHeight="1">
      <c r="A964" s="579"/>
      <c r="B964" s="516"/>
      <c r="C964" s="502"/>
      <c r="D964" s="502"/>
      <c r="E964" s="502"/>
      <c r="F964" s="502"/>
      <c r="G964" s="517"/>
      <c r="H964" s="517"/>
      <c r="I964" s="517"/>
    </row>
    <row r="965" spans="1:9" ht="15.95" customHeight="1" thickBot="1">
      <c r="A965" s="502"/>
      <c r="B965" s="516" t="s">
        <v>291</v>
      </c>
      <c r="C965" s="502"/>
      <c r="D965" s="502"/>
      <c r="E965" s="582"/>
      <c r="F965" s="582"/>
      <c r="G965" s="517"/>
      <c r="H965" s="517"/>
      <c r="I965" s="517"/>
    </row>
    <row r="966" spans="1:9" ht="15.95" customHeight="1" thickBot="1">
      <c r="A966" s="779" t="s">
        <v>346</v>
      </c>
      <c r="B966" s="779"/>
      <c r="C966" s="779"/>
      <c r="D966" s="505"/>
      <c r="E966" s="486" t="s">
        <v>347</v>
      </c>
      <c r="F966" s="360">
        <f>'財産集計（入力シート） '!R45+'財産集計（入力シート） '!R46</f>
        <v>30000000</v>
      </c>
    </row>
    <row r="967" spans="1:9" ht="15.95" customHeight="1">
      <c r="A967" s="554" t="s">
        <v>233</v>
      </c>
      <c r="B967" s="579"/>
      <c r="C967" s="502"/>
      <c r="D967" s="502"/>
      <c r="E967" s="574"/>
      <c r="F967" s="574"/>
    </row>
    <row r="968" spans="1:9" ht="15.95" customHeight="1">
      <c r="A968" s="581" t="s">
        <v>230</v>
      </c>
      <c r="B968" s="517"/>
      <c r="C968" s="502"/>
      <c r="D968" s="502"/>
      <c r="E968" s="502"/>
      <c r="F968" s="502"/>
    </row>
    <row r="970" spans="1:9" ht="15.95" customHeight="1">
      <c r="A970" s="583" t="s">
        <v>296</v>
      </c>
      <c r="B970" s="502"/>
      <c r="C970" s="505"/>
      <c r="D970" s="583" t="s">
        <v>297</v>
      </c>
      <c r="E970" s="502"/>
    </row>
    <row r="972" spans="1:9" ht="15.95" customHeight="1">
      <c r="A972" s="282" t="s">
        <v>298</v>
      </c>
    </row>
    <row r="974" spans="1:9" ht="15.95" customHeight="1">
      <c r="A974" s="502"/>
      <c r="B974" s="502"/>
      <c r="C974" s="502"/>
      <c r="D974" s="502"/>
      <c r="E974" s="502"/>
      <c r="F974" s="502"/>
      <c r="G974" s="505"/>
      <c r="H974" s="505"/>
    </row>
    <row r="975" spans="1:9" ht="15.95" customHeight="1">
      <c r="A975" s="502"/>
      <c r="B975" s="502"/>
      <c r="C975" s="502"/>
      <c r="D975" s="502"/>
      <c r="E975" s="502"/>
      <c r="F975" s="502"/>
      <c r="G975" s="505"/>
      <c r="H975" s="505"/>
    </row>
    <row r="976" spans="1:9" ht="15.95" customHeight="1">
      <c r="A976" s="572"/>
      <c r="B976" s="572"/>
      <c r="C976" s="502" t="s">
        <v>223</v>
      </c>
      <c r="D976" s="572"/>
      <c r="E976" s="502"/>
      <c r="F976" s="572"/>
      <c r="G976" s="505"/>
      <c r="H976" s="505"/>
    </row>
    <row r="977" spans="1:8" ht="15.95" customHeight="1">
      <c r="A977" s="505"/>
      <c r="B977" s="505"/>
      <c r="C977" s="505"/>
      <c r="D977" s="505"/>
      <c r="E977" s="505"/>
      <c r="F977" s="505"/>
      <c r="G977" s="505"/>
      <c r="H977" s="505"/>
    </row>
    <row r="978" spans="1:8" ht="15.95" customHeight="1">
      <c r="A978" s="505" t="s">
        <v>299</v>
      </c>
      <c r="B978" s="505"/>
      <c r="C978" s="505"/>
      <c r="D978" s="505"/>
      <c r="E978" s="505"/>
      <c r="F978" s="505"/>
      <c r="G978" s="505"/>
      <c r="H978" s="505"/>
    </row>
    <row r="979" spans="1:8" ht="15.95" customHeight="1">
      <c r="A979" s="505"/>
      <c r="B979" s="505"/>
      <c r="C979" s="505"/>
      <c r="D979" s="505"/>
      <c r="E979" s="505"/>
      <c r="F979" s="505"/>
      <c r="G979" s="505"/>
      <c r="H979" s="505"/>
    </row>
    <row r="980" spans="1:8" ht="15.95" customHeight="1">
      <c r="A980" s="516" t="s">
        <v>291</v>
      </c>
      <c r="B980" s="502"/>
      <c r="C980" s="502"/>
      <c r="D980" s="502"/>
      <c r="E980" s="502"/>
      <c r="F980" s="502"/>
      <c r="G980" s="502"/>
      <c r="H980" s="502"/>
    </row>
    <row r="981" spans="1:8" ht="15.95" customHeight="1">
      <c r="A981" s="516" t="s">
        <v>291</v>
      </c>
      <c r="B981" s="502"/>
      <c r="C981" s="502"/>
      <c r="D981" s="502"/>
      <c r="E981" s="502"/>
      <c r="F981" s="502"/>
      <c r="G981" s="502"/>
      <c r="H981" s="502"/>
    </row>
    <row r="982" spans="1:8" ht="15.95" customHeight="1">
      <c r="A982" s="572"/>
      <c r="B982" s="572"/>
      <c r="C982" s="572"/>
      <c r="D982" s="516" t="s">
        <v>223</v>
      </c>
      <c r="E982" s="572"/>
      <c r="F982" s="502"/>
      <c r="G982" s="572"/>
      <c r="H982" s="572"/>
    </row>
    <row r="994" spans="1:10" ht="12.6" customHeight="1">
      <c r="A994" s="282" t="s">
        <v>300</v>
      </c>
    </row>
    <row r="995" spans="1:10" ht="12.6" customHeight="1">
      <c r="B995" s="301"/>
      <c r="C995" s="337" t="s">
        <v>559</v>
      </c>
      <c r="D995" s="337" t="s">
        <v>560</v>
      </c>
      <c r="E995" s="337" t="s">
        <v>561</v>
      </c>
      <c r="F995" s="337" t="s">
        <v>562</v>
      </c>
      <c r="G995" s="337" t="s">
        <v>563</v>
      </c>
      <c r="H995" s="337" t="s">
        <v>564</v>
      </c>
      <c r="I995" s="337" t="s">
        <v>565</v>
      </c>
      <c r="J995" s="337"/>
    </row>
    <row r="996" spans="1:10" ht="12.6" customHeight="1">
      <c r="A996" s="338" t="s">
        <v>301</v>
      </c>
      <c r="B996" s="338" t="s">
        <v>302</v>
      </c>
      <c r="C996" s="337" t="str">
        <f>IF('財産集計（入力シート） '!D7=0,"",'財産集計（入力シート） '!D7)</f>
        <v>小林洋子</v>
      </c>
      <c r="D996" s="337" t="str">
        <f>IF('財産集計（入力シート） '!E7=0,"",'財産集計（入力シート） '!E7)</f>
        <v>小林智子</v>
      </c>
      <c r="E996" s="339" t="str">
        <f>IF('財産集計（入力シート） '!F7=0,"",'財産集計（入力シート） '!F7)</f>
        <v>小林尊琉</v>
      </c>
      <c r="F996" s="337" t="str">
        <f>IF('財産集計（入力シート） '!G7=0,"",'財産集計（入力シート） '!G7)</f>
        <v>小林二郎</v>
      </c>
      <c r="G996" s="337" t="str">
        <f>IF('財産集計（入力シート） '!H7=0,"",'財産集計（入力シート） '!H7)</f>
        <v>佐藤英理</v>
      </c>
      <c r="H996" s="339" t="str">
        <f>IF('財産集計（入力シート） '!I7=0,"",'財産集計（入力シート） '!I7)</f>
        <v>小林　円</v>
      </c>
      <c r="I996" s="339" t="str">
        <f>IF('財産集計（入力シート） '!J7=0,"",'財産集計（入力シート） '!J7)</f>
        <v/>
      </c>
      <c r="J996" s="339" t="s">
        <v>348</v>
      </c>
    </row>
    <row r="997" spans="1:10" ht="12.6" customHeight="1">
      <c r="A997" s="338" t="s">
        <v>303</v>
      </c>
      <c r="B997" s="301" t="s">
        <v>304</v>
      </c>
      <c r="C997" s="205"/>
      <c r="D997" s="301"/>
      <c r="E997" s="301"/>
      <c r="F997" s="301"/>
      <c r="G997" s="301"/>
      <c r="H997" s="301"/>
      <c r="I997" s="301"/>
      <c r="J997" s="301"/>
    </row>
    <row r="998" spans="1:10" ht="12.6" customHeight="1">
      <c r="A998" s="340" t="s">
        <v>516</v>
      </c>
      <c r="B998" s="487">
        <f>SUM(C998:J998)</f>
        <v>0</v>
      </c>
      <c r="C998" s="341">
        <f>'財産集計（入力シート） '!D8</f>
        <v>0</v>
      </c>
      <c r="D998" s="341">
        <f>'財産集計（入力シート） '!E8</f>
        <v>0</v>
      </c>
      <c r="E998" s="341">
        <f>'財産集計（入力シート） '!F8</f>
        <v>0</v>
      </c>
      <c r="F998" s="341">
        <f>'財産集計（入力シート） '!G8</f>
        <v>0</v>
      </c>
      <c r="G998" s="341">
        <f>'財産集計（入力シート） '!H8</f>
        <v>0</v>
      </c>
      <c r="H998" s="341">
        <f>'財産集計（入力シート） '!I8</f>
        <v>0</v>
      </c>
      <c r="I998" s="341">
        <f>'財産集計（入力シート） '!J8</f>
        <v>0</v>
      </c>
      <c r="J998" s="487">
        <f>SUM(B1046:H1046)</f>
        <v>0</v>
      </c>
    </row>
    <row r="999" spans="1:10" ht="12.6" customHeight="1">
      <c r="A999" s="340" t="s">
        <v>517</v>
      </c>
      <c r="B999" s="487">
        <f t="shared" ref="B999:B1017" si="29">SUM(C999:J999)</f>
        <v>0</v>
      </c>
      <c r="C999" s="341">
        <f>'財産集計（入力シート） '!D9</f>
        <v>0</v>
      </c>
      <c r="D999" s="341">
        <f>'財産集計（入力シート） '!E9</f>
        <v>0</v>
      </c>
      <c r="E999" s="341">
        <f>'財産集計（入力シート） '!F9</f>
        <v>0</v>
      </c>
      <c r="F999" s="341">
        <f>'財産集計（入力シート） '!G9</f>
        <v>0</v>
      </c>
      <c r="G999" s="341">
        <f>'財産集計（入力シート） '!H9</f>
        <v>0</v>
      </c>
      <c r="H999" s="341">
        <f>'財産集計（入力シート） '!I9</f>
        <v>0</v>
      </c>
      <c r="I999" s="341">
        <f>'財産集計（入力シート） '!J9</f>
        <v>0</v>
      </c>
      <c r="J999" s="487">
        <f t="shared" ref="J999:J1017" si="30">SUM(B1047:H1047)</f>
        <v>0</v>
      </c>
    </row>
    <row r="1000" spans="1:10" ht="12.6" customHeight="1">
      <c r="A1000" s="340" t="s">
        <v>518</v>
      </c>
      <c r="B1000" s="487">
        <f t="shared" si="29"/>
        <v>1297132766</v>
      </c>
      <c r="C1000" s="341">
        <f>'財産集計（入力シート） '!D12+'財産集計（入力シート） '!D13+'財産集計（入力シート） '!D14+'財産集計（入力シート） '!D15+'財産集計（入力シート） '!D16+'財産集計（入力シート） '!D17</f>
        <v>484723107</v>
      </c>
      <c r="D1000" s="341">
        <f>'財産集計（入力シート） '!E12+'財産集計（入力シート） '!E13+'財産集計（入力シート） '!E14+'財産集計（入力シート） '!E15+'財産集計（入力シート） '!E16+'財産集計（入力シート） '!E17</f>
        <v>0</v>
      </c>
      <c r="E1000" s="341">
        <f>'財産集計（入力シート） '!F12+'財産集計（入力シート） '!F13+'財産集計（入力シート） '!F14+'財産集計（入力シート） '!F15+'財産集計（入力シート） '!F16+'財産集計（入力シート） '!F17</f>
        <v>352499081</v>
      </c>
      <c r="F1000" s="341">
        <f>'財産集計（入力シート） '!G12+'財産集計（入力シート） '!G13+'財産集計（入力シート） '!G14+'財産集計（入力シート） '!G15+'財産集計（入力シート） '!G16+'財産集計（入力シート） '!G17</f>
        <v>258260174</v>
      </c>
      <c r="G1000" s="341">
        <f>'財産集計（入力シート） '!H12+'財産集計（入力シート） '!H13+'財産集計（入力シート） '!H14+'財産集計（入力シート） '!H15+'財産集計（入力シート） '!H16+'財産集計（入力シート） '!H17</f>
        <v>43995419</v>
      </c>
      <c r="H1000" s="341">
        <f>'財産集計（入力シート） '!I12+'財産集計（入力シート） '!I13+'財産集計（入力シート） '!I14+'財産集計（入力シート） '!I15+'財産集計（入力シート） '!I16+'財産集計（入力シート） '!I17</f>
        <v>157654985</v>
      </c>
      <c r="I1000" s="341">
        <f>'財産集計（入力シート） '!J12+'財産集計（入力シート） '!J13+'財産集計（入力シート） '!J14+'財産集計（入力シート） '!J15+'財産集計（入力シート） '!J16+'財産集計（入力シート） '!J17</f>
        <v>0</v>
      </c>
      <c r="J1000" s="487">
        <f t="shared" si="30"/>
        <v>0</v>
      </c>
    </row>
    <row r="1001" spans="1:10" ht="12.6" customHeight="1">
      <c r="A1001" s="340" t="s">
        <v>519</v>
      </c>
      <c r="B1001" s="487">
        <f t="shared" si="29"/>
        <v>0</v>
      </c>
      <c r="C1001" s="341">
        <f>'財産集計（入力シート） '!D10+'財産集計（入力シート） '!D11</f>
        <v>0</v>
      </c>
      <c r="D1001" s="341">
        <f>'財産集計（入力シート） '!E10+'財産集計（入力シート） '!E11</f>
        <v>0</v>
      </c>
      <c r="E1001" s="341">
        <f>'財産集計（入力シート） '!F10+'財産集計（入力シート） '!F11</f>
        <v>0</v>
      </c>
      <c r="F1001" s="341">
        <f>'財産集計（入力シート） '!G10+'財産集計（入力シート） '!G11</f>
        <v>0</v>
      </c>
      <c r="G1001" s="341">
        <f>'財産集計（入力シート） '!H10+'財産集計（入力シート） '!H11</f>
        <v>0</v>
      </c>
      <c r="H1001" s="341">
        <f>'財産集計（入力シート） '!I10+'財産集計（入力シート） '!I11</f>
        <v>0</v>
      </c>
      <c r="I1001" s="341">
        <f>'財産集計（入力シート） '!J10+'財産集計（入力シート） '!J11</f>
        <v>0</v>
      </c>
      <c r="J1001" s="487">
        <f t="shared" si="30"/>
        <v>0</v>
      </c>
    </row>
    <row r="1002" spans="1:10" ht="12.6" customHeight="1">
      <c r="A1002" s="340" t="s">
        <v>520</v>
      </c>
      <c r="B1002" s="487">
        <f t="shared" si="29"/>
        <v>0</v>
      </c>
      <c r="C1002" s="341"/>
      <c r="D1002" s="487"/>
      <c r="E1002" s="487"/>
      <c r="F1002" s="487"/>
      <c r="G1002" s="487"/>
      <c r="H1002" s="487"/>
      <c r="I1002" s="487"/>
      <c r="J1002" s="487">
        <f t="shared" si="30"/>
        <v>0</v>
      </c>
    </row>
    <row r="1003" spans="1:10" ht="12.6" customHeight="1">
      <c r="A1003" s="340" t="s">
        <v>521</v>
      </c>
      <c r="B1003" s="487">
        <f t="shared" si="29"/>
        <v>1297132766</v>
      </c>
      <c r="C1003" s="341">
        <f>SUM(C998:C1002)</f>
        <v>484723107</v>
      </c>
      <c r="D1003" s="341">
        <f t="shared" ref="D1003:I1003" si="31">SUM(D998:D1002)</f>
        <v>0</v>
      </c>
      <c r="E1003" s="341">
        <f t="shared" si="31"/>
        <v>352499081</v>
      </c>
      <c r="F1003" s="341">
        <f t="shared" si="31"/>
        <v>258260174</v>
      </c>
      <c r="G1003" s="341">
        <f t="shared" si="31"/>
        <v>43995419</v>
      </c>
      <c r="H1003" s="341">
        <f t="shared" si="31"/>
        <v>157654985</v>
      </c>
      <c r="I1003" s="341">
        <f t="shared" si="31"/>
        <v>0</v>
      </c>
      <c r="J1003" s="487">
        <f t="shared" si="30"/>
        <v>0</v>
      </c>
    </row>
    <row r="1004" spans="1:10" ht="12.6" customHeight="1">
      <c r="A1004" s="340" t="s">
        <v>522</v>
      </c>
      <c r="B1004" s="487">
        <f t="shared" si="29"/>
        <v>0</v>
      </c>
      <c r="C1004" s="341"/>
      <c r="D1004" s="487"/>
      <c r="E1004" s="487"/>
      <c r="F1004" s="487"/>
      <c r="G1004" s="487"/>
      <c r="H1004" s="487"/>
      <c r="I1004" s="487"/>
      <c r="J1004" s="487">
        <f t="shared" si="30"/>
        <v>0</v>
      </c>
    </row>
    <row r="1005" spans="1:10" ht="12.6" customHeight="1">
      <c r="A1005" s="340" t="s">
        <v>523</v>
      </c>
      <c r="B1005" s="487">
        <f t="shared" si="29"/>
        <v>0</v>
      </c>
      <c r="C1005" s="341"/>
      <c r="D1005" s="487"/>
      <c r="E1005" s="487"/>
      <c r="F1005" s="487"/>
      <c r="G1005" s="487"/>
      <c r="H1005" s="487"/>
      <c r="I1005" s="487"/>
      <c r="J1005" s="487">
        <f t="shared" si="30"/>
        <v>0</v>
      </c>
    </row>
    <row r="1006" spans="1:10" ht="12.6" customHeight="1">
      <c r="A1006" s="340" t="s">
        <v>524</v>
      </c>
      <c r="B1006" s="487">
        <f t="shared" si="29"/>
        <v>14042637</v>
      </c>
      <c r="C1006" s="341">
        <f>'財産集計（入力シート） '!D18+'財産集計（入力シート） '!D19</f>
        <v>9347961</v>
      </c>
      <c r="D1006" s="341">
        <f>'財産集計（入力シート） '!E18+'財産集計（入力シート） '!E19</f>
        <v>0</v>
      </c>
      <c r="E1006" s="341">
        <f>'財産集計（入力シート） '!F18+'財産集計（入力シート） '!F19</f>
        <v>4694676</v>
      </c>
      <c r="F1006" s="341">
        <f>'財産集計（入力シート） '!G18+'財産集計（入力シート） '!G19</f>
        <v>0</v>
      </c>
      <c r="G1006" s="341">
        <f>'財産集計（入力シート） '!H18+'財産集計（入力シート） '!H19</f>
        <v>0</v>
      </c>
      <c r="H1006" s="341">
        <f>'財産集計（入力シート） '!I18+'財産集計（入力シート） '!I19</f>
        <v>0</v>
      </c>
      <c r="I1006" s="341">
        <f>'財産集計（入力シート） '!J18+'財産集計（入力シート） '!J19</f>
        <v>0</v>
      </c>
      <c r="J1006" s="487">
        <f t="shared" si="30"/>
        <v>0</v>
      </c>
    </row>
    <row r="1007" spans="1:10" ht="12.6" customHeight="1">
      <c r="A1007" s="340" t="s">
        <v>525</v>
      </c>
      <c r="B1007" s="487">
        <f t="shared" si="29"/>
        <v>0</v>
      </c>
      <c r="C1007" s="341"/>
      <c r="D1007" s="487"/>
      <c r="E1007" s="487"/>
      <c r="F1007" s="487"/>
      <c r="G1007" s="487"/>
      <c r="H1007" s="487"/>
      <c r="I1007" s="487"/>
      <c r="J1007" s="487">
        <f t="shared" si="30"/>
        <v>0</v>
      </c>
    </row>
    <row r="1008" spans="1:10" ht="12.6" customHeight="1">
      <c r="A1008" s="340" t="s">
        <v>526</v>
      </c>
      <c r="B1008" s="487">
        <f t="shared" si="29"/>
        <v>0</v>
      </c>
      <c r="C1008" s="341"/>
      <c r="D1008" s="487"/>
      <c r="E1008" s="487"/>
      <c r="F1008" s="487"/>
      <c r="G1008" s="487"/>
      <c r="H1008" s="487"/>
      <c r="I1008" s="487"/>
      <c r="J1008" s="487">
        <f t="shared" si="30"/>
        <v>0</v>
      </c>
    </row>
    <row r="1009" spans="1:10" ht="12.6" customHeight="1">
      <c r="A1009" s="340" t="s">
        <v>527</v>
      </c>
      <c r="B1009" s="487">
        <f t="shared" si="29"/>
        <v>0</v>
      </c>
      <c r="C1009" s="341"/>
      <c r="D1009" s="487"/>
      <c r="E1009" s="487"/>
      <c r="F1009" s="487"/>
      <c r="G1009" s="487"/>
      <c r="H1009" s="487"/>
      <c r="I1009" s="487"/>
      <c r="J1009" s="487">
        <f t="shared" si="30"/>
        <v>0</v>
      </c>
    </row>
    <row r="1010" spans="1:10" ht="12.6" customHeight="1">
      <c r="A1010" s="340" t="s">
        <v>528</v>
      </c>
      <c r="B1010" s="487">
        <f t="shared" si="29"/>
        <v>0</v>
      </c>
      <c r="C1010" s="341"/>
      <c r="D1010" s="487"/>
      <c r="E1010" s="487"/>
      <c r="F1010" s="487"/>
      <c r="G1010" s="487"/>
      <c r="H1010" s="487"/>
      <c r="I1010" s="487"/>
      <c r="J1010" s="487">
        <f t="shared" si="30"/>
        <v>0</v>
      </c>
    </row>
    <row r="1011" spans="1:10" ht="12.6" customHeight="1">
      <c r="A1011" s="340" t="s">
        <v>529</v>
      </c>
      <c r="B1011" s="487">
        <f t="shared" si="29"/>
        <v>0</v>
      </c>
      <c r="C1011" s="341">
        <f>SUM(C1007:C1010)</f>
        <v>0</v>
      </c>
      <c r="D1011" s="341">
        <f t="shared" ref="D1011:I1011" si="32">SUM(D1007:D1010)</f>
        <v>0</v>
      </c>
      <c r="E1011" s="341">
        <f t="shared" si="32"/>
        <v>0</v>
      </c>
      <c r="F1011" s="341">
        <f t="shared" si="32"/>
        <v>0</v>
      </c>
      <c r="G1011" s="341">
        <f t="shared" si="32"/>
        <v>0</v>
      </c>
      <c r="H1011" s="341">
        <f t="shared" si="32"/>
        <v>0</v>
      </c>
      <c r="I1011" s="341">
        <f t="shared" si="32"/>
        <v>0</v>
      </c>
      <c r="J1011" s="487">
        <f t="shared" si="30"/>
        <v>0</v>
      </c>
    </row>
    <row r="1012" spans="1:10" ht="12.6" customHeight="1">
      <c r="A1012" s="340" t="s">
        <v>530</v>
      </c>
      <c r="B1012" s="487">
        <f t="shared" si="29"/>
        <v>0</v>
      </c>
      <c r="C1012" s="341"/>
      <c r="D1012" s="487"/>
      <c r="E1012" s="487"/>
      <c r="F1012" s="487"/>
      <c r="G1012" s="487"/>
      <c r="H1012" s="487"/>
      <c r="I1012" s="487"/>
      <c r="J1012" s="487">
        <f t="shared" si="30"/>
        <v>0</v>
      </c>
    </row>
    <row r="1013" spans="1:10" ht="12.6" customHeight="1">
      <c r="A1013" s="340" t="s">
        <v>531</v>
      </c>
      <c r="B1013" s="487">
        <f t="shared" si="29"/>
        <v>0</v>
      </c>
      <c r="C1013" s="341">
        <f>'財産集計（入力シート） '!D20+'財産集計（入力シート） '!D21</f>
        <v>0</v>
      </c>
      <c r="D1013" s="341">
        <f>'財産集計（入力シート） '!E20+'財産集計（入力シート） '!E21</f>
        <v>0</v>
      </c>
      <c r="E1013" s="341">
        <f>'財産集計（入力シート） '!F20+'財産集計（入力シート） '!F21</f>
        <v>0</v>
      </c>
      <c r="F1013" s="341">
        <f>'財産集計（入力シート） '!G20+'財産集計（入力シート） '!G21</f>
        <v>0</v>
      </c>
      <c r="G1013" s="341">
        <f>'財産集計（入力シート） '!H20+'財産集計（入力シート） '!H21</f>
        <v>0</v>
      </c>
      <c r="H1013" s="341">
        <f>'財産集計（入力シート） '!I20+'財産集計（入力シート） '!I21</f>
        <v>0</v>
      </c>
      <c r="I1013" s="341">
        <f>'財産集計（入力シート） '!J20+'財産集計（入力シート） '!J21</f>
        <v>0</v>
      </c>
      <c r="J1013" s="487">
        <f t="shared" si="30"/>
        <v>0</v>
      </c>
    </row>
    <row r="1014" spans="1:10" ht="12.6" customHeight="1">
      <c r="A1014" s="340" t="s">
        <v>532</v>
      </c>
      <c r="B1014" s="487">
        <f t="shared" si="29"/>
        <v>10443177</v>
      </c>
      <c r="C1014" s="341">
        <f>'財産集計（入力シート） '!D22+'財産集計（入力シート） '!D23</f>
        <v>10443177</v>
      </c>
      <c r="D1014" s="341">
        <f>'財産集計（入力シート） '!E22+'財産集計（入力シート） '!E23</f>
        <v>0</v>
      </c>
      <c r="E1014" s="341">
        <f>'財産集計（入力シート） '!F22+'財産集計（入力シート） '!F23</f>
        <v>0</v>
      </c>
      <c r="F1014" s="341">
        <f>'財産集計（入力シート） '!G22+'財産集計（入力シート） '!G23</f>
        <v>0</v>
      </c>
      <c r="G1014" s="341">
        <f>'財産集計（入力シート） '!H22+'財産集計（入力シート） '!H23</f>
        <v>0</v>
      </c>
      <c r="H1014" s="341">
        <f>'財産集計（入力シート） '!I22+'財産集計（入力シート） '!I23</f>
        <v>0</v>
      </c>
      <c r="I1014" s="341">
        <f>'財産集計（入力シート） '!J22+'財産集計（入力シート） '!J23</f>
        <v>0</v>
      </c>
      <c r="J1014" s="487">
        <f t="shared" si="30"/>
        <v>0</v>
      </c>
    </row>
    <row r="1015" spans="1:10" ht="12.6" customHeight="1">
      <c r="A1015" s="340" t="s">
        <v>533</v>
      </c>
      <c r="B1015" s="487">
        <f t="shared" si="29"/>
        <v>0</v>
      </c>
      <c r="C1015" s="341"/>
      <c r="D1015" s="487"/>
      <c r="E1015" s="487"/>
      <c r="F1015" s="487"/>
      <c r="G1015" s="487"/>
      <c r="H1015" s="487"/>
      <c r="I1015" s="487"/>
      <c r="J1015" s="487">
        <f t="shared" si="30"/>
        <v>0</v>
      </c>
    </row>
    <row r="1016" spans="1:10" ht="12.6" customHeight="1">
      <c r="A1016" s="340" t="s">
        <v>534</v>
      </c>
      <c r="B1016" s="487">
        <f t="shared" si="29"/>
        <v>0</v>
      </c>
      <c r="C1016" s="341"/>
      <c r="D1016" s="487"/>
      <c r="E1016" s="487"/>
      <c r="F1016" s="487"/>
      <c r="G1016" s="487"/>
      <c r="H1016" s="487"/>
      <c r="I1016" s="487"/>
      <c r="J1016" s="487">
        <f t="shared" si="30"/>
        <v>0</v>
      </c>
    </row>
    <row r="1017" spans="1:10" ht="12.6" customHeight="1">
      <c r="A1017" s="340" t="s">
        <v>541</v>
      </c>
      <c r="B1017" s="487">
        <f t="shared" si="29"/>
        <v>10443177</v>
      </c>
      <c r="C1017" s="341">
        <f>SUM(C1012:C1016)</f>
        <v>10443177</v>
      </c>
      <c r="D1017" s="341">
        <f t="shared" ref="D1017:I1017" si="33">SUM(D1012:D1016)</f>
        <v>0</v>
      </c>
      <c r="E1017" s="341">
        <f t="shared" si="33"/>
        <v>0</v>
      </c>
      <c r="F1017" s="341">
        <f t="shared" si="33"/>
        <v>0</v>
      </c>
      <c r="G1017" s="341">
        <f t="shared" si="33"/>
        <v>0</v>
      </c>
      <c r="H1017" s="341">
        <f t="shared" si="33"/>
        <v>0</v>
      </c>
      <c r="I1017" s="341">
        <f t="shared" si="33"/>
        <v>0</v>
      </c>
      <c r="J1017" s="487">
        <f t="shared" si="30"/>
        <v>0</v>
      </c>
    </row>
    <row r="1018" spans="1:10" ht="6" customHeight="1"/>
    <row r="1019" spans="1:10" ht="12.6" customHeight="1">
      <c r="C1019" s="337" t="s">
        <v>559</v>
      </c>
      <c r="D1019" s="337" t="s">
        <v>560</v>
      </c>
      <c r="E1019" s="337" t="s">
        <v>561</v>
      </c>
      <c r="F1019" s="337" t="s">
        <v>562</v>
      </c>
      <c r="G1019" s="337" t="s">
        <v>563</v>
      </c>
      <c r="H1019" s="337" t="s">
        <v>564</v>
      </c>
      <c r="I1019" s="337" t="s">
        <v>565</v>
      </c>
    </row>
    <row r="1020" spans="1:10" ht="12.6" customHeight="1">
      <c r="A1020" s="338" t="s">
        <v>301</v>
      </c>
      <c r="B1020" s="338" t="s">
        <v>302</v>
      </c>
      <c r="C1020" s="337" t="str">
        <f>IF('財産集計（入力シート） '!D7=0,"",'財産集計（入力シート） '!D7)</f>
        <v>小林洋子</v>
      </c>
      <c r="D1020" s="337" t="str">
        <f>IF('財産集計（入力シート） '!E7=0,"",'財産集計（入力シート） '!E7)</f>
        <v>小林智子</v>
      </c>
      <c r="E1020" s="339" t="str">
        <f>IF('財産集計（入力シート） '!F7=0,"",'財産集計（入力シート） '!F7)</f>
        <v>小林尊琉</v>
      </c>
      <c r="F1020" s="337" t="str">
        <f>IF('財産集計（入力シート） '!G7=0,"",'財産集計（入力シート） '!G7)</f>
        <v>小林二郎</v>
      </c>
      <c r="G1020" s="337" t="str">
        <f>IF('財産集計（入力シート） '!H7=0,"",'財産集計（入力シート） '!H7)</f>
        <v>佐藤英理</v>
      </c>
      <c r="H1020" s="337" t="str">
        <f>IF('財産集計（入力シート） '!I7=0,"",'財産集計（入力シート） '!I7)</f>
        <v>小林　円</v>
      </c>
      <c r="I1020" s="337" t="str">
        <f>IF('財産集計（入力シート） '!L7=0,"",'財産集計（入力シート） '!L7)</f>
        <v/>
      </c>
      <c r="J1020" s="339" t="s">
        <v>348</v>
      </c>
    </row>
    <row r="1021" spans="1:10" ht="12.6" customHeight="1">
      <c r="A1021" s="338" t="s">
        <v>303</v>
      </c>
      <c r="B1021" s="301"/>
      <c r="C1021" s="301"/>
      <c r="D1021" s="301"/>
      <c r="E1021" s="301"/>
      <c r="F1021" s="301"/>
      <c r="G1021" s="301"/>
      <c r="H1021" s="301"/>
      <c r="I1021" s="301"/>
      <c r="J1021" s="301"/>
    </row>
    <row r="1022" spans="1:10" ht="12.6" customHeight="1">
      <c r="A1022" s="340" t="s">
        <v>535</v>
      </c>
      <c r="B1022" s="487">
        <f>SUM(C1022:J1022)</f>
        <v>45905983</v>
      </c>
      <c r="C1022" s="487">
        <f>'財産集計（入力シート） '!D24+'財産集計（入力シート） '!D25</f>
        <v>45905983</v>
      </c>
      <c r="D1022" s="487">
        <f>'財産集計（入力シート） '!E24+'財産集計（入力シート） '!E25</f>
        <v>0</v>
      </c>
      <c r="E1022" s="487">
        <f>'財産集計（入力シート） '!F24+'財産集計（入力シート） '!F25</f>
        <v>0</v>
      </c>
      <c r="F1022" s="487">
        <f>'財産集計（入力シート） '!G24+'財産集計（入力シート） '!G25</f>
        <v>0</v>
      </c>
      <c r="G1022" s="487">
        <f>'財産集計（入力シート） '!H24+'財産集計（入力シート） '!H25</f>
        <v>0</v>
      </c>
      <c r="H1022" s="487">
        <f>'財産集計（入力シート） '!I24+'財産集計（入力シート） '!I25</f>
        <v>0</v>
      </c>
      <c r="I1022" s="487">
        <f>'財産集計（入力シート） '!J24+'財産集計（入力シート） '!J25</f>
        <v>0</v>
      </c>
      <c r="J1022" s="487">
        <f>SUM(B1070:H1070)</f>
        <v>0</v>
      </c>
    </row>
    <row r="1023" spans="1:10" ht="12.6" customHeight="1">
      <c r="A1023" s="340" t="s">
        <v>536</v>
      </c>
      <c r="B1023" s="487">
        <f t="shared" ref="B1023:B1041" si="34">SUM(C1023:J1023)</f>
        <v>310000</v>
      </c>
      <c r="C1023" s="487">
        <f>'財産集計（入力シート） '!D26+'財産集計（入力シート） '!D27</f>
        <v>310000</v>
      </c>
      <c r="D1023" s="487">
        <f>'財産集計（入力シート） '!E26+'財産集計（入力シート） '!E27</f>
        <v>0</v>
      </c>
      <c r="E1023" s="487">
        <f>'財産集計（入力シート） '!F26+'財産集計（入力シート） '!F27</f>
        <v>0</v>
      </c>
      <c r="F1023" s="487">
        <f>'財産集計（入力シート） '!G26+'財産集計（入力シート） '!G27</f>
        <v>0</v>
      </c>
      <c r="G1023" s="487">
        <f>'財産集計（入力シート） '!H26+'財産集計（入力シート） '!H27</f>
        <v>0</v>
      </c>
      <c r="H1023" s="487">
        <f>'財産集計（入力シート） '!I26+'財産集計（入力シート） '!I27</f>
        <v>0</v>
      </c>
      <c r="I1023" s="487">
        <f>'財産集計（入力シート） '!J26+'財産集計（入力シート） '!J27</f>
        <v>0</v>
      </c>
      <c r="J1023" s="487">
        <f t="shared" ref="J1023:J1041" si="35">SUM(B1071:H1071)</f>
        <v>0</v>
      </c>
    </row>
    <row r="1024" spans="1:10" ht="12.6" customHeight="1">
      <c r="A1024" s="340" t="s">
        <v>537</v>
      </c>
      <c r="B1024" s="487">
        <f t="shared" si="34"/>
        <v>0</v>
      </c>
      <c r="C1024" s="487">
        <f>'財産集計（入力シート） '!D28</f>
        <v>0</v>
      </c>
      <c r="D1024" s="487">
        <f>'財産集計（入力シート） '!E28</f>
        <v>0</v>
      </c>
      <c r="E1024" s="487">
        <f>'財産集計（入力シート） '!F28</f>
        <v>0</v>
      </c>
      <c r="F1024" s="487">
        <f>'財産集計（入力シート） '!G28</f>
        <v>0</v>
      </c>
      <c r="G1024" s="487">
        <f>'財産集計（入力シート） '!H28</f>
        <v>0</v>
      </c>
      <c r="H1024" s="487">
        <f>'財産集計（入力シート） '!I28</f>
        <v>0</v>
      </c>
      <c r="I1024" s="487">
        <f>'財産集計（入力シート） '!J28</f>
        <v>0</v>
      </c>
      <c r="J1024" s="487">
        <f t="shared" si="35"/>
        <v>0</v>
      </c>
    </row>
    <row r="1025" spans="1:10" ht="12.6" customHeight="1">
      <c r="A1025" s="340" t="s">
        <v>538</v>
      </c>
      <c r="B1025" s="487">
        <f t="shared" si="34"/>
        <v>0</v>
      </c>
      <c r="C1025" s="487">
        <f>'財産集計（入力シート） '!D29</f>
        <v>0</v>
      </c>
      <c r="D1025" s="487">
        <f>'財産集計（入力シート） '!E29</f>
        <v>0</v>
      </c>
      <c r="E1025" s="487">
        <f>'財産集計（入力シート） '!F29</f>
        <v>0</v>
      </c>
      <c r="F1025" s="487">
        <f>'財産集計（入力シート） '!G29</f>
        <v>0</v>
      </c>
      <c r="G1025" s="487">
        <f>'財産集計（入力シート） '!H29</f>
        <v>0</v>
      </c>
      <c r="H1025" s="487">
        <f>'財産集計（入力シート） '!I29</f>
        <v>0</v>
      </c>
      <c r="I1025" s="487">
        <f>'財産集計（入力シート） '!J29</f>
        <v>0</v>
      </c>
      <c r="J1025" s="487">
        <f t="shared" si="35"/>
        <v>0</v>
      </c>
    </row>
    <row r="1026" spans="1:10" ht="12.6" customHeight="1">
      <c r="A1026" s="340" t="s">
        <v>540</v>
      </c>
      <c r="B1026" s="487">
        <f t="shared" si="34"/>
        <v>0</v>
      </c>
      <c r="C1026" s="487"/>
      <c r="D1026" s="487"/>
      <c r="E1026" s="487"/>
      <c r="F1026" s="487"/>
      <c r="G1026" s="487"/>
      <c r="H1026" s="487"/>
      <c r="I1026" s="487"/>
      <c r="J1026" s="487">
        <f t="shared" si="35"/>
        <v>0</v>
      </c>
    </row>
    <row r="1027" spans="1:10" ht="12.6" customHeight="1">
      <c r="A1027" s="340" t="s">
        <v>539</v>
      </c>
      <c r="B1027" s="487">
        <f t="shared" si="34"/>
        <v>35348</v>
      </c>
      <c r="C1027" s="487">
        <f>'財産集計（入力シート） '!D30+'財産集計（入力シート） '!D31</f>
        <v>35348</v>
      </c>
      <c r="D1027" s="487">
        <f>'財産集計（入力シート） '!E30+'財産集計（入力シート） '!E31</f>
        <v>0</v>
      </c>
      <c r="E1027" s="487">
        <f>'財産集計（入力シート） '!F30+'財産集計（入力シート） '!F31</f>
        <v>0</v>
      </c>
      <c r="F1027" s="487">
        <f>'財産集計（入力シート） '!G30+'財産集計（入力シート） '!G31</f>
        <v>0</v>
      </c>
      <c r="G1027" s="487">
        <f>'財産集計（入力シート） '!H30+'財産集計（入力シート） '!H31</f>
        <v>0</v>
      </c>
      <c r="H1027" s="487">
        <f>'財産集計（入力シート） '!I30+'財産集計（入力シート） '!I31</f>
        <v>0</v>
      </c>
      <c r="I1027" s="487">
        <f>'財産集計（入力シート） '!J30+'財産集計（入力シート） '!J31</f>
        <v>0</v>
      </c>
      <c r="J1027" s="487">
        <f t="shared" si="35"/>
        <v>0</v>
      </c>
    </row>
    <row r="1028" spans="1:10" ht="12.6" customHeight="1">
      <c r="A1028" s="340" t="s">
        <v>558</v>
      </c>
      <c r="B1028" s="487">
        <f t="shared" si="34"/>
        <v>0</v>
      </c>
      <c r="C1028" s="487">
        <f>'財産集計（入力シート） '!D32+'財産集計（入力シート） '!D33</f>
        <v>-153000000</v>
      </c>
      <c r="D1028" s="487">
        <f>'財産集計（入力シート） '!E32+'財産集計（入力シート） '!E33</f>
        <v>113000000</v>
      </c>
      <c r="E1028" s="487">
        <f>'財産集計（入力シート） '!F32+'財産集計（入力シート） '!F33</f>
        <v>0</v>
      </c>
      <c r="F1028" s="487">
        <f>'財産集計（入力シート） '!G32+'財産集計（入力シート） '!G33</f>
        <v>0</v>
      </c>
      <c r="G1028" s="487">
        <f>'財産集計（入力シート） '!H32+'財産集計（入力シート） '!H33</f>
        <v>30000000</v>
      </c>
      <c r="H1028" s="487">
        <f>'財産集計（入力シート） '!I32+'財産集計（入力シート） '!I33</f>
        <v>10000000</v>
      </c>
      <c r="I1028" s="487">
        <f>'財産集計（入力シート） '!J32+'財産集計（入力シート） '!J33</f>
        <v>0</v>
      </c>
      <c r="J1028" s="487">
        <f t="shared" si="35"/>
        <v>0</v>
      </c>
    </row>
    <row r="1029" spans="1:10" ht="12.6" customHeight="1">
      <c r="A1029" s="340" t="s">
        <v>542</v>
      </c>
      <c r="B1029" s="487">
        <f t="shared" si="34"/>
        <v>35348</v>
      </c>
      <c r="C1029" s="487">
        <f>SUM(C1024:C1028)</f>
        <v>-152964652</v>
      </c>
      <c r="D1029" s="487">
        <f t="shared" ref="D1029:I1029" si="36">SUM(D1024:D1028)</f>
        <v>113000000</v>
      </c>
      <c r="E1029" s="487">
        <f t="shared" si="36"/>
        <v>0</v>
      </c>
      <c r="F1029" s="487">
        <f t="shared" si="36"/>
        <v>0</v>
      </c>
      <c r="G1029" s="487">
        <f t="shared" si="36"/>
        <v>30000000</v>
      </c>
      <c r="H1029" s="487">
        <f t="shared" si="36"/>
        <v>10000000</v>
      </c>
      <c r="I1029" s="487">
        <f t="shared" si="36"/>
        <v>0</v>
      </c>
      <c r="J1029" s="487">
        <f t="shared" si="35"/>
        <v>0</v>
      </c>
    </row>
    <row r="1030" spans="1:10" ht="12.6" customHeight="1">
      <c r="A1030" s="340" t="s">
        <v>543</v>
      </c>
      <c r="B1030" s="487">
        <f t="shared" si="34"/>
        <v>1367869911</v>
      </c>
      <c r="C1030" s="487">
        <f>C1003+C1006+C1011+C1017+C1022+C1023+C1029</f>
        <v>397765576</v>
      </c>
      <c r="D1030" s="487">
        <f t="shared" ref="D1030:I1030" si="37">D1003+D1006+D1011+D1017+D1022+D1023+D1029</f>
        <v>113000000</v>
      </c>
      <c r="E1030" s="487">
        <f t="shared" si="37"/>
        <v>357193757</v>
      </c>
      <c r="F1030" s="487">
        <f t="shared" si="37"/>
        <v>258260174</v>
      </c>
      <c r="G1030" s="487">
        <f t="shared" si="37"/>
        <v>73995419</v>
      </c>
      <c r="H1030" s="487">
        <f t="shared" si="37"/>
        <v>167654985</v>
      </c>
      <c r="I1030" s="487">
        <f t="shared" si="37"/>
        <v>0</v>
      </c>
      <c r="J1030" s="487">
        <f t="shared" si="35"/>
        <v>0</v>
      </c>
    </row>
    <row r="1031" spans="1:10" ht="12.6" customHeight="1">
      <c r="A1031" s="340" t="s">
        <v>544</v>
      </c>
      <c r="B1031" s="487">
        <f t="shared" si="34"/>
        <v>80000000</v>
      </c>
      <c r="C1031" s="487">
        <f>'財産集計（入力シート） '!D38</f>
        <v>0</v>
      </c>
      <c r="D1031" s="487">
        <f>'財産集計（入力シート） '!E38</f>
        <v>50000000</v>
      </c>
      <c r="E1031" s="487">
        <f>'財産集計（入力シート） '!F38</f>
        <v>0</v>
      </c>
      <c r="F1031" s="487">
        <f>'財産集計（入力シート） '!G38</f>
        <v>30000000</v>
      </c>
      <c r="G1031" s="487">
        <f>'財産集計（入力シート） '!H38</f>
        <v>0</v>
      </c>
      <c r="H1031" s="487">
        <f>'財産集計（入力シート） '!I38</f>
        <v>0</v>
      </c>
      <c r="I1031" s="487">
        <f>'財産集計（入力シート） '!L38</f>
        <v>0</v>
      </c>
      <c r="J1031" s="487">
        <f t="shared" si="35"/>
        <v>0</v>
      </c>
    </row>
    <row r="1032" spans="1:10" ht="12.6" customHeight="1">
      <c r="A1032" s="340" t="s">
        <v>545</v>
      </c>
      <c r="B1032" s="487">
        <f t="shared" si="34"/>
        <v>1311175403</v>
      </c>
      <c r="C1032" s="487">
        <f t="shared" ref="C1032:I1032" si="38">C1003+C1006+C1007+C1012+C1013+C1026</f>
        <v>494071068</v>
      </c>
      <c r="D1032" s="487">
        <f t="shared" si="38"/>
        <v>0</v>
      </c>
      <c r="E1032" s="487">
        <f t="shared" si="38"/>
        <v>357193757</v>
      </c>
      <c r="F1032" s="487">
        <f t="shared" si="38"/>
        <v>258260174</v>
      </c>
      <c r="G1032" s="487">
        <f t="shared" si="38"/>
        <v>43995419</v>
      </c>
      <c r="H1032" s="487">
        <f t="shared" si="38"/>
        <v>157654985</v>
      </c>
      <c r="I1032" s="487">
        <f t="shared" si="38"/>
        <v>0</v>
      </c>
      <c r="J1032" s="487">
        <f t="shared" si="35"/>
        <v>0</v>
      </c>
    </row>
    <row r="1033" spans="1:10" ht="12.6" customHeight="1">
      <c r="A1033" s="340" t="s">
        <v>546</v>
      </c>
      <c r="B1033" s="487">
        <f t="shared" si="34"/>
        <v>0</v>
      </c>
      <c r="C1033" s="487"/>
      <c r="D1033" s="487"/>
      <c r="E1033" s="487"/>
      <c r="F1033" s="487"/>
      <c r="G1033" s="487"/>
      <c r="H1033" s="487"/>
      <c r="I1033" s="487"/>
      <c r="J1033" s="487">
        <f t="shared" si="35"/>
        <v>0</v>
      </c>
    </row>
    <row r="1034" spans="1:10" ht="12.6" customHeight="1">
      <c r="A1034" s="340" t="s">
        <v>547</v>
      </c>
      <c r="B1034" s="487">
        <f t="shared" si="34"/>
        <v>0</v>
      </c>
      <c r="C1034" s="487"/>
      <c r="D1034" s="487"/>
      <c r="E1034" s="487"/>
      <c r="F1034" s="487"/>
      <c r="G1034" s="487"/>
      <c r="H1034" s="487"/>
      <c r="I1034" s="487"/>
      <c r="J1034" s="487">
        <f t="shared" si="35"/>
        <v>0</v>
      </c>
    </row>
    <row r="1035" spans="1:10" ht="12.6" customHeight="1">
      <c r="A1035" s="340" t="s">
        <v>548</v>
      </c>
      <c r="B1035" s="487">
        <f t="shared" si="34"/>
        <v>23965526</v>
      </c>
      <c r="C1035" s="487">
        <f>'財産集計（入力シート） '!D42</f>
        <v>23965526</v>
      </c>
      <c r="D1035" s="487">
        <f>'財産集計（入力シート） '!E42</f>
        <v>0</v>
      </c>
      <c r="E1035" s="487">
        <f>'財産集計（入力シート） '!F42</f>
        <v>0</v>
      </c>
      <c r="F1035" s="487">
        <f>'財産集計（入力シート） '!G42</f>
        <v>0</v>
      </c>
      <c r="G1035" s="487">
        <f>'財産集計（入力シート） '!H42</f>
        <v>0</v>
      </c>
      <c r="H1035" s="487">
        <f>'財産集計（入力シート） '!I42</f>
        <v>0</v>
      </c>
      <c r="I1035" s="487">
        <f>'財産集計（入力シート） '!J42</f>
        <v>0</v>
      </c>
      <c r="J1035" s="487">
        <f t="shared" si="35"/>
        <v>0</v>
      </c>
    </row>
    <row r="1036" spans="1:10" ht="12.6" customHeight="1">
      <c r="A1036" s="340" t="s">
        <v>549</v>
      </c>
      <c r="B1036" s="487">
        <f t="shared" si="34"/>
        <v>3995426</v>
      </c>
      <c r="C1036" s="487">
        <f>'財産集計（入力シート） '!D43</f>
        <v>3995426</v>
      </c>
      <c r="D1036" s="487">
        <f>'財産集計（入力シート） '!E43</f>
        <v>0</v>
      </c>
      <c r="E1036" s="487">
        <f>'財産集計（入力シート） '!F43</f>
        <v>0</v>
      </c>
      <c r="F1036" s="487">
        <f>'財産集計（入力シート） '!G43</f>
        <v>0</v>
      </c>
      <c r="G1036" s="487">
        <f>'財産集計（入力シート） '!H43</f>
        <v>0</v>
      </c>
      <c r="H1036" s="487">
        <f>'財産集計（入力シート） '!I43</f>
        <v>0</v>
      </c>
      <c r="I1036" s="487">
        <f>'財産集計（入力シート） '!J43</f>
        <v>0</v>
      </c>
      <c r="J1036" s="487">
        <f t="shared" si="35"/>
        <v>0</v>
      </c>
    </row>
    <row r="1037" spans="1:10" ht="12.6" customHeight="1">
      <c r="A1037" s="340" t="s">
        <v>550</v>
      </c>
      <c r="B1037" s="487">
        <f t="shared" si="34"/>
        <v>27960952</v>
      </c>
      <c r="C1037" s="487">
        <f>'財産集計（入力シート） '!D42+'財産集計（入力シート） '!D43</f>
        <v>27960952</v>
      </c>
      <c r="D1037" s="487">
        <f>'財産集計（入力シート） '!E42+'財産集計（入力シート） '!E43</f>
        <v>0</v>
      </c>
      <c r="E1037" s="487">
        <f>'財産集計（入力シート） '!F42+'財産集計（入力シート） '!F43</f>
        <v>0</v>
      </c>
      <c r="F1037" s="487">
        <f>'財産集計（入力シート） '!G42+'財産集計（入力シート） '!G43</f>
        <v>0</v>
      </c>
      <c r="G1037" s="487">
        <f>'財産集計（入力シート） '!H42+'財産集計（入力シート） '!H43</f>
        <v>0</v>
      </c>
      <c r="H1037" s="487">
        <f>'財産集計（入力シート） '!I42+'財産集計（入力シート） '!I43</f>
        <v>0</v>
      </c>
      <c r="I1037" s="487">
        <f>'財産集計（入力シート） '!J42+'財産集計（入力シート） '!J43</f>
        <v>0</v>
      </c>
      <c r="J1037" s="487">
        <f t="shared" si="35"/>
        <v>0</v>
      </c>
    </row>
    <row r="1038" spans="1:10" ht="12.6" customHeight="1">
      <c r="A1038" s="340" t="s">
        <v>551</v>
      </c>
      <c r="B1038" s="487">
        <f t="shared" si="34"/>
        <v>1419908959</v>
      </c>
      <c r="C1038" s="487">
        <f t="shared" ref="C1038:I1038" si="39">C1030+C1031-C1037</f>
        <v>369804624</v>
      </c>
      <c r="D1038" s="487">
        <f t="shared" si="39"/>
        <v>163000000</v>
      </c>
      <c r="E1038" s="487">
        <f t="shared" si="39"/>
        <v>357193757</v>
      </c>
      <c r="F1038" s="487">
        <f t="shared" si="39"/>
        <v>288260174</v>
      </c>
      <c r="G1038" s="487">
        <f t="shared" si="39"/>
        <v>73995419</v>
      </c>
      <c r="H1038" s="487">
        <f t="shared" si="39"/>
        <v>167654985</v>
      </c>
      <c r="I1038" s="487">
        <f t="shared" si="39"/>
        <v>0</v>
      </c>
      <c r="J1038" s="487">
        <f t="shared" si="35"/>
        <v>0</v>
      </c>
    </row>
    <row r="1039" spans="1:10" ht="12.6" customHeight="1">
      <c r="A1039" s="340" t="s">
        <v>552</v>
      </c>
      <c r="B1039" s="487">
        <f t="shared" si="34"/>
        <v>30000000</v>
      </c>
      <c r="C1039" s="487">
        <f>'財産集計（入力シート） '!D45+'財産集計（入力シート） '!D46</f>
        <v>30000000</v>
      </c>
      <c r="D1039" s="487">
        <f>'財産集計（入力シート） '!E45+'財産集計（入力シート） '!E46</f>
        <v>0</v>
      </c>
      <c r="E1039" s="487">
        <f>'財産集計（入力シート） '!F45+'財産集計（入力シート） '!F46</f>
        <v>0</v>
      </c>
      <c r="F1039" s="487">
        <f>'財産集計（入力シート） '!G45+'財産集計（入力シート） '!G46</f>
        <v>0</v>
      </c>
      <c r="G1039" s="487">
        <f>'財産集計（入力シート） '!H45+'財産集計（入力シート） '!H46</f>
        <v>0</v>
      </c>
      <c r="H1039" s="487">
        <f>'財産集計（入力シート） '!I45+'財産集計（入力シート） '!I46</f>
        <v>0</v>
      </c>
      <c r="I1039" s="487">
        <f>'財産集計（入力シート） '!J45+'財産集計（入力シート） '!J46</f>
        <v>0</v>
      </c>
      <c r="J1039" s="487">
        <f t="shared" si="35"/>
        <v>0</v>
      </c>
    </row>
    <row r="1040" spans="1:10" ht="12.6" customHeight="1">
      <c r="A1040" s="340" t="s">
        <v>553</v>
      </c>
      <c r="B1040" s="487">
        <f t="shared" si="34"/>
        <v>1449908959</v>
      </c>
      <c r="C1040" s="487">
        <f t="shared" ref="C1040:I1040" si="40">C1038+C1039</f>
        <v>399804624</v>
      </c>
      <c r="D1040" s="487">
        <f t="shared" si="40"/>
        <v>163000000</v>
      </c>
      <c r="E1040" s="487">
        <f t="shared" si="40"/>
        <v>357193757</v>
      </c>
      <c r="F1040" s="487">
        <f t="shared" si="40"/>
        <v>288260174</v>
      </c>
      <c r="G1040" s="487">
        <f t="shared" si="40"/>
        <v>73995419</v>
      </c>
      <c r="H1040" s="487">
        <f t="shared" si="40"/>
        <v>167654985</v>
      </c>
      <c r="I1040" s="487">
        <f t="shared" si="40"/>
        <v>0</v>
      </c>
      <c r="J1040" s="487">
        <f t="shared" si="35"/>
        <v>0</v>
      </c>
    </row>
    <row r="1041" spans="1:11" ht="12.6" customHeight="1">
      <c r="A1041" s="340" t="s">
        <v>554</v>
      </c>
      <c r="B1041" s="487">
        <f t="shared" si="34"/>
        <v>1449906000</v>
      </c>
      <c r="C1041" s="487">
        <f>ROUNDDOWN(C1040,-3)</f>
        <v>399804000</v>
      </c>
      <c r="D1041" s="487">
        <f t="shared" ref="D1041:I1041" si="41">ROUNDDOWN(D1040,-3)</f>
        <v>163000000</v>
      </c>
      <c r="E1041" s="487">
        <f t="shared" si="41"/>
        <v>357193000</v>
      </c>
      <c r="F1041" s="487">
        <f t="shared" si="41"/>
        <v>288260000</v>
      </c>
      <c r="G1041" s="487">
        <f t="shared" si="41"/>
        <v>73995000</v>
      </c>
      <c r="H1041" s="487">
        <f t="shared" si="41"/>
        <v>167654000</v>
      </c>
      <c r="I1041" s="487">
        <f t="shared" si="41"/>
        <v>0</v>
      </c>
      <c r="J1041" s="487">
        <f t="shared" si="35"/>
        <v>0</v>
      </c>
    </row>
    <row r="1042" spans="1:11" ht="12.6" customHeight="1">
      <c r="A1042" s="282" t="s">
        <v>305</v>
      </c>
    </row>
    <row r="1043" spans="1:11" ht="12.6" customHeight="1">
      <c r="B1043" s="337" t="s">
        <v>566</v>
      </c>
      <c r="C1043" s="337" t="s">
        <v>567</v>
      </c>
      <c r="D1043" s="337" t="s">
        <v>568</v>
      </c>
      <c r="E1043" s="337" t="s">
        <v>569</v>
      </c>
      <c r="F1043" s="337" t="s">
        <v>570</v>
      </c>
      <c r="G1043" s="337" t="s">
        <v>571</v>
      </c>
      <c r="H1043" s="337" t="s">
        <v>572</v>
      </c>
      <c r="I1043" s="488"/>
    </row>
    <row r="1044" spans="1:11" ht="12.6" customHeight="1">
      <c r="A1044" s="338" t="s">
        <v>301</v>
      </c>
      <c r="B1044" s="339" t="str">
        <f>IF('財産集計（入力シート） '!K7=0,"",'財産集計（入力シート） '!K7)</f>
        <v/>
      </c>
      <c r="C1044" s="489" t="str">
        <f>IF('財産集計（入力シート） '!L7=0,"",'財産集計（入力シート） '!L7)</f>
        <v/>
      </c>
      <c r="D1044" s="489" t="str">
        <f>IF('財産集計（入力シート） '!M7=0,"",'財産集計（入力シート） '!M7)</f>
        <v/>
      </c>
      <c r="E1044" s="489" t="str">
        <f>IF('財産集計（入力シート） '!N7=0,"",'財産集計（入力シート） '!N7)</f>
        <v/>
      </c>
      <c r="F1044" s="489" t="str">
        <f>IF('財産集計（入力シート） '!O7=0,"",'財産集計（入力シート） '!O7)</f>
        <v/>
      </c>
      <c r="G1044" s="489" t="str">
        <f>IF('財産集計（入力シート） '!P7=0,"",'財産集計（入力シート） '!P7)</f>
        <v/>
      </c>
      <c r="H1044" s="489" t="str">
        <f>IF('財産集計（入力シート） '!Q7=0,"",'財産集計（入力シート） '!Q7)</f>
        <v/>
      </c>
      <c r="I1044" s="488"/>
      <c r="J1044" s="474"/>
      <c r="K1044" s="474"/>
    </row>
    <row r="1045" spans="1:11" ht="12.6" customHeight="1">
      <c r="A1045" s="338" t="s">
        <v>303</v>
      </c>
      <c r="B1045" s="301"/>
      <c r="C1045" s="301"/>
      <c r="D1045" s="301"/>
      <c r="E1045" s="301"/>
      <c r="F1045" s="301"/>
      <c r="G1045" s="301"/>
      <c r="H1045" s="301"/>
      <c r="I1045" s="295"/>
      <c r="J1045" s="295"/>
      <c r="K1045" s="295"/>
    </row>
    <row r="1046" spans="1:11" ht="12.6" customHeight="1">
      <c r="A1046" s="340" t="s">
        <v>516</v>
      </c>
      <c r="B1046" s="490">
        <f>'財産集計（入力シート） '!K8</f>
        <v>0</v>
      </c>
      <c r="C1046" s="490">
        <f>'財産集計（入力シート） '!L8</f>
        <v>0</v>
      </c>
      <c r="D1046" s="490">
        <f>'財産集計（入力シート） '!M8</f>
        <v>0</v>
      </c>
      <c r="E1046" s="490">
        <f>'財産集計（入力シート） '!N8</f>
        <v>0</v>
      </c>
      <c r="F1046" s="490">
        <f>'財産集計（入力シート） '!O8</f>
        <v>0</v>
      </c>
      <c r="G1046" s="490">
        <f>'財産集計（入力シート） '!P8</f>
        <v>0</v>
      </c>
      <c r="H1046" s="490">
        <f>'財産集計（入力シート） '!Q8</f>
        <v>0</v>
      </c>
      <c r="I1046" s="295"/>
      <c r="J1046" s="295"/>
      <c r="K1046" s="295"/>
    </row>
    <row r="1047" spans="1:11" ht="12.6" customHeight="1">
      <c r="A1047" s="340" t="s">
        <v>517</v>
      </c>
      <c r="B1047" s="490">
        <f>'財産集計（入力シート） '!K9</f>
        <v>0</v>
      </c>
      <c r="C1047" s="490">
        <f>'財産集計（入力シート） '!L9</f>
        <v>0</v>
      </c>
      <c r="D1047" s="490">
        <f>'財産集計（入力シート） '!M9</f>
        <v>0</v>
      </c>
      <c r="E1047" s="490">
        <f>'財産集計（入力シート） '!N9</f>
        <v>0</v>
      </c>
      <c r="F1047" s="490">
        <f>'財産集計（入力シート） '!O9</f>
        <v>0</v>
      </c>
      <c r="G1047" s="490">
        <f>'財産集計（入力シート） '!P9</f>
        <v>0</v>
      </c>
      <c r="H1047" s="490">
        <f>'財産集計（入力シート） '!Q9</f>
        <v>0</v>
      </c>
      <c r="I1047" s="295"/>
      <c r="J1047" s="295"/>
      <c r="K1047" s="295"/>
    </row>
    <row r="1048" spans="1:11" ht="12.6" customHeight="1">
      <c r="A1048" s="340" t="s">
        <v>518</v>
      </c>
      <c r="B1048" s="490">
        <f>'財産集計（入力シート） '!K12+'財産集計（入力シート） '!K13+'財産集計（入力シート） '!K14+'財産集計（入力シート） '!K15+'財産集計（入力シート） '!K16+'財産集計（入力シート） '!K17</f>
        <v>0</v>
      </c>
      <c r="C1048" s="490">
        <f>'財産集計（入力シート） '!L12+'財産集計（入力シート） '!L13+'財産集計（入力シート） '!L14+'財産集計（入力シート） '!L15+'財産集計（入力シート） '!L16+'財産集計（入力シート） '!L17</f>
        <v>0</v>
      </c>
      <c r="D1048" s="490">
        <f>'財産集計（入力シート） '!M12+'財産集計（入力シート） '!M13+'財産集計（入力シート） '!M14+'財産集計（入力シート） '!M15+'財産集計（入力シート） '!M16+'財産集計（入力シート） '!M17</f>
        <v>0</v>
      </c>
      <c r="E1048" s="490">
        <f>'財産集計（入力シート） '!N12+'財産集計（入力シート） '!N13+'財産集計（入力シート） '!N14+'財産集計（入力シート） '!N15+'財産集計（入力シート） '!N16+'財産集計（入力シート） '!N17</f>
        <v>0</v>
      </c>
      <c r="F1048" s="490">
        <f>'財産集計（入力シート） '!O12+'財産集計（入力シート） '!O13+'財産集計（入力シート） '!O14+'財産集計（入力シート） '!O15+'財産集計（入力シート） '!O16+'財産集計（入力シート） '!O17</f>
        <v>0</v>
      </c>
      <c r="G1048" s="490">
        <f>'財産集計（入力シート） '!P12+'財産集計（入力シート） '!P13+'財産集計（入力シート） '!P14+'財産集計（入力シート） '!P15+'財産集計（入力シート） '!P16+'財産集計（入力シート） '!P17</f>
        <v>0</v>
      </c>
      <c r="H1048" s="490">
        <f>'財産集計（入力シート） '!Q12+'財産集計（入力シート） '!Q13+'財産集計（入力シート） '!Q14+'財産集計（入力シート） '!Q15+'財産集計（入力シート） '!Q16+'財産集計（入力シート） '!Q17</f>
        <v>0</v>
      </c>
      <c r="I1048" s="295"/>
      <c r="J1048" s="295"/>
      <c r="K1048" s="295"/>
    </row>
    <row r="1049" spans="1:11" ht="12.6" customHeight="1">
      <c r="A1049" s="340" t="s">
        <v>519</v>
      </c>
      <c r="B1049" s="490">
        <f>'財産集計（入力シート） '!K10+'財産集計（入力シート） '!K11</f>
        <v>0</v>
      </c>
      <c r="C1049" s="490">
        <f>'財産集計（入力シート） '!L10+'財産集計（入力シート） '!L11</f>
        <v>0</v>
      </c>
      <c r="D1049" s="490">
        <f>'財産集計（入力シート） '!M10+'財産集計（入力シート） '!M11</f>
        <v>0</v>
      </c>
      <c r="E1049" s="490">
        <f>'財産集計（入力シート） '!N10+'財産集計（入力シート） '!N11</f>
        <v>0</v>
      </c>
      <c r="F1049" s="490">
        <f>'財産集計（入力シート） '!O10+'財産集計（入力シート） '!O11</f>
        <v>0</v>
      </c>
      <c r="G1049" s="490">
        <f>'財産集計（入力シート） '!P10+'財産集計（入力シート） '!P11</f>
        <v>0</v>
      </c>
      <c r="H1049" s="490">
        <f>'財産集計（入力シート） '!Q10+'財産集計（入力シート） '!Q11</f>
        <v>0</v>
      </c>
      <c r="I1049" s="295"/>
      <c r="J1049" s="295"/>
      <c r="K1049" s="295"/>
    </row>
    <row r="1050" spans="1:11" ht="12.6" customHeight="1">
      <c r="A1050" s="340" t="s">
        <v>520</v>
      </c>
      <c r="B1050" s="490"/>
      <c r="C1050" s="490"/>
      <c r="D1050" s="490"/>
      <c r="E1050" s="490"/>
      <c r="F1050" s="490"/>
      <c r="G1050" s="490"/>
      <c r="H1050" s="490"/>
      <c r="I1050" s="295"/>
      <c r="J1050" s="295"/>
      <c r="K1050" s="295"/>
    </row>
    <row r="1051" spans="1:11" ht="12.6" customHeight="1">
      <c r="A1051" s="340" t="s">
        <v>521</v>
      </c>
      <c r="B1051" s="341">
        <f>SUM(B1046:B1050)</f>
        <v>0</v>
      </c>
      <c r="C1051" s="341">
        <f t="shared" ref="C1051:H1051" si="42">SUM(C1046:C1050)</f>
        <v>0</v>
      </c>
      <c r="D1051" s="341">
        <f t="shared" si="42"/>
        <v>0</v>
      </c>
      <c r="E1051" s="341">
        <f t="shared" si="42"/>
        <v>0</v>
      </c>
      <c r="F1051" s="341">
        <f t="shared" si="42"/>
        <v>0</v>
      </c>
      <c r="G1051" s="341">
        <f t="shared" si="42"/>
        <v>0</v>
      </c>
      <c r="H1051" s="341">
        <f t="shared" si="42"/>
        <v>0</v>
      </c>
      <c r="I1051" s="295"/>
      <c r="J1051" s="295"/>
      <c r="K1051" s="295"/>
    </row>
    <row r="1052" spans="1:11" ht="12.6" customHeight="1">
      <c r="A1052" s="340" t="s">
        <v>522</v>
      </c>
      <c r="B1052" s="490"/>
      <c r="C1052" s="490"/>
      <c r="D1052" s="490"/>
      <c r="E1052" s="490"/>
      <c r="F1052" s="490"/>
      <c r="G1052" s="490"/>
      <c r="H1052" s="490"/>
      <c r="I1052" s="295"/>
      <c r="J1052" s="295"/>
      <c r="K1052" s="295"/>
    </row>
    <row r="1053" spans="1:11" ht="12.6" customHeight="1">
      <c r="A1053" s="340" t="s">
        <v>523</v>
      </c>
      <c r="B1053" s="490"/>
      <c r="C1053" s="490"/>
      <c r="D1053" s="490"/>
      <c r="E1053" s="490"/>
      <c r="F1053" s="490"/>
      <c r="G1053" s="490"/>
      <c r="H1053" s="490"/>
      <c r="I1053" s="295"/>
      <c r="J1053" s="295"/>
      <c r="K1053" s="295"/>
    </row>
    <row r="1054" spans="1:11" ht="12.6" customHeight="1">
      <c r="A1054" s="340" t="s">
        <v>524</v>
      </c>
      <c r="B1054" s="341">
        <f>'財産集計（入力シート） '!K18+'財産集計（入力シート） '!K19</f>
        <v>0</v>
      </c>
      <c r="C1054" s="341">
        <f>'財産集計（入力シート） '!L18+'財産集計（入力シート） '!L19</f>
        <v>0</v>
      </c>
      <c r="D1054" s="341">
        <f>'財産集計（入力シート） '!M18+'財産集計（入力シート） '!M19</f>
        <v>0</v>
      </c>
      <c r="E1054" s="341">
        <f>'財産集計（入力シート） '!N18+'財産集計（入力シート） '!N19</f>
        <v>0</v>
      </c>
      <c r="F1054" s="341">
        <f>'財産集計（入力シート） '!O18+'財産集計（入力シート） '!O19</f>
        <v>0</v>
      </c>
      <c r="G1054" s="341">
        <f>'財産集計（入力シート） '!P18+'財産集計（入力シート） '!P19</f>
        <v>0</v>
      </c>
      <c r="H1054" s="341">
        <f>'財産集計（入力シート） '!Q18+'財産集計（入力シート） '!Q19</f>
        <v>0</v>
      </c>
      <c r="I1054" s="295"/>
      <c r="J1054" s="295"/>
      <c r="K1054" s="295"/>
    </row>
    <row r="1055" spans="1:11" ht="12.6" customHeight="1">
      <c r="A1055" s="340" t="s">
        <v>525</v>
      </c>
      <c r="B1055" s="490"/>
      <c r="C1055" s="490"/>
      <c r="D1055" s="490"/>
      <c r="E1055" s="490"/>
      <c r="F1055" s="490"/>
      <c r="G1055" s="490"/>
      <c r="H1055" s="490"/>
      <c r="I1055" s="295"/>
      <c r="J1055" s="295"/>
      <c r="K1055" s="295"/>
    </row>
    <row r="1056" spans="1:11" ht="12.6" customHeight="1">
      <c r="A1056" s="340" t="s">
        <v>526</v>
      </c>
      <c r="B1056" s="490"/>
      <c r="C1056" s="490"/>
      <c r="D1056" s="490"/>
      <c r="E1056" s="490"/>
      <c r="F1056" s="490"/>
      <c r="G1056" s="490"/>
      <c r="H1056" s="490"/>
      <c r="I1056" s="295"/>
      <c r="J1056" s="295"/>
      <c r="K1056" s="295"/>
    </row>
    <row r="1057" spans="1:11" ht="12.6" customHeight="1">
      <c r="A1057" s="340" t="s">
        <v>527</v>
      </c>
      <c r="B1057" s="490"/>
      <c r="C1057" s="490"/>
      <c r="D1057" s="490"/>
      <c r="E1057" s="490"/>
      <c r="F1057" s="490"/>
      <c r="G1057" s="490"/>
      <c r="H1057" s="490"/>
      <c r="I1057" s="295"/>
      <c r="J1057" s="295"/>
      <c r="K1057" s="295"/>
    </row>
    <row r="1058" spans="1:11" ht="12.6" customHeight="1">
      <c r="A1058" s="340" t="s">
        <v>528</v>
      </c>
      <c r="B1058" s="490"/>
      <c r="C1058" s="490"/>
      <c r="D1058" s="490"/>
      <c r="E1058" s="490"/>
      <c r="F1058" s="490"/>
      <c r="G1058" s="490"/>
      <c r="H1058" s="490"/>
      <c r="I1058" s="295"/>
      <c r="J1058" s="295"/>
      <c r="K1058" s="295"/>
    </row>
    <row r="1059" spans="1:11" ht="12.6" customHeight="1">
      <c r="A1059" s="340" t="s">
        <v>529</v>
      </c>
      <c r="B1059" s="341">
        <f>SUM(B1055:B1058)</f>
        <v>0</v>
      </c>
      <c r="C1059" s="341">
        <f t="shared" ref="C1059:H1059" si="43">SUM(C1055:C1058)</f>
        <v>0</v>
      </c>
      <c r="D1059" s="341">
        <f t="shared" si="43"/>
        <v>0</v>
      </c>
      <c r="E1059" s="341">
        <f t="shared" si="43"/>
        <v>0</v>
      </c>
      <c r="F1059" s="341">
        <f t="shared" si="43"/>
        <v>0</v>
      </c>
      <c r="G1059" s="341">
        <f t="shared" si="43"/>
        <v>0</v>
      </c>
      <c r="H1059" s="341">
        <f t="shared" si="43"/>
        <v>0</v>
      </c>
      <c r="I1059" s="295"/>
      <c r="J1059" s="295"/>
      <c r="K1059" s="295"/>
    </row>
    <row r="1060" spans="1:11" ht="12.6" customHeight="1">
      <c r="A1060" s="340" t="s">
        <v>530</v>
      </c>
      <c r="B1060" s="490"/>
      <c r="C1060" s="490"/>
      <c r="D1060" s="490"/>
      <c r="E1060" s="490"/>
      <c r="F1060" s="490"/>
      <c r="G1060" s="490"/>
      <c r="H1060" s="490"/>
      <c r="I1060" s="295"/>
      <c r="J1060" s="295"/>
      <c r="K1060" s="295"/>
    </row>
    <row r="1061" spans="1:11" ht="12.6" customHeight="1">
      <c r="A1061" s="340" t="s">
        <v>531</v>
      </c>
      <c r="B1061" s="490">
        <f>'財産集計（入力シート） '!K20+'財産集計（入力シート） '!K21</f>
        <v>0</v>
      </c>
      <c r="C1061" s="490">
        <f>'財産集計（入力シート） '!L20+'財産集計（入力シート） '!L21</f>
        <v>0</v>
      </c>
      <c r="D1061" s="490">
        <f>'財産集計（入力シート） '!M20+'財産集計（入力シート） '!M21</f>
        <v>0</v>
      </c>
      <c r="E1061" s="490">
        <f>'財産集計（入力シート） '!N20+'財産集計（入力シート） '!N21</f>
        <v>0</v>
      </c>
      <c r="F1061" s="490">
        <f>'財産集計（入力シート） '!O20+'財産集計（入力シート） '!O21</f>
        <v>0</v>
      </c>
      <c r="G1061" s="490">
        <f>'財産集計（入力シート） '!P20+'財産集計（入力シート） '!P21</f>
        <v>0</v>
      </c>
      <c r="H1061" s="490">
        <f>'財産集計（入力シート） '!Q20+'財産集計（入力シート） '!Q21</f>
        <v>0</v>
      </c>
      <c r="I1061" s="295"/>
      <c r="J1061" s="295"/>
      <c r="K1061" s="295"/>
    </row>
    <row r="1062" spans="1:11" ht="12.6" customHeight="1">
      <c r="A1062" s="340" t="s">
        <v>532</v>
      </c>
      <c r="B1062" s="490">
        <f>'財産集計（入力シート） '!K22+'財産集計（入力シート） '!K23</f>
        <v>0</v>
      </c>
      <c r="C1062" s="490">
        <f>'財産集計（入力シート） '!L22+'財産集計（入力シート） '!L23</f>
        <v>0</v>
      </c>
      <c r="D1062" s="490">
        <f>'財産集計（入力シート） '!M22+'財産集計（入力シート） '!M23</f>
        <v>0</v>
      </c>
      <c r="E1062" s="490">
        <f>'財産集計（入力シート） '!N22+'財産集計（入力シート） '!N23</f>
        <v>0</v>
      </c>
      <c r="F1062" s="490">
        <f>'財産集計（入力シート） '!O22+'財産集計（入力シート） '!O23</f>
        <v>0</v>
      </c>
      <c r="G1062" s="490">
        <f>'財産集計（入力シート） '!P22+'財産集計（入力シート） '!P23</f>
        <v>0</v>
      </c>
      <c r="H1062" s="490">
        <f>'財産集計（入力シート） '!Q22+'財産集計（入力シート） '!Q23</f>
        <v>0</v>
      </c>
      <c r="I1062" s="295"/>
      <c r="J1062" s="295"/>
      <c r="K1062" s="295"/>
    </row>
    <row r="1063" spans="1:11" ht="12.6" customHeight="1">
      <c r="A1063" s="340" t="s">
        <v>533</v>
      </c>
      <c r="B1063" s="490"/>
      <c r="C1063" s="490"/>
      <c r="D1063" s="490"/>
      <c r="E1063" s="490"/>
      <c r="F1063" s="490"/>
      <c r="G1063" s="490"/>
      <c r="H1063" s="490"/>
      <c r="I1063" s="295"/>
      <c r="J1063" s="295"/>
      <c r="K1063" s="295"/>
    </row>
    <row r="1064" spans="1:11" ht="12.6" customHeight="1">
      <c r="A1064" s="340" t="s">
        <v>534</v>
      </c>
      <c r="B1064" s="490"/>
      <c r="C1064" s="490"/>
      <c r="D1064" s="490"/>
      <c r="E1064" s="490"/>
      <c r="F1064" s="490"/>
      <c r="G1064" s="490"/>
      <c r="H1064" s="490"/>
      <c r="I1064" s="295"/>
      <c r="J1064" s="295"/>
      <c r="K1064" s="295"/>
    </row>
    <row r="1065" spans="1:11" ht="12.6" customHeight="1">
      <c r="A1065" s="340" t="s">
        <v>541</v>
      </c>
      <c r="B1065" s="341">
        <f>SUM(B1060:B1064)</f>
        <v>0</v>
      </c>
      <c r="C1065" s="341">
        <f t="shared" ref="C1065:H1065" si="44">SUM(C1060:C1064)</f>
        <v>0</v>
      </c>
      <c r="D1065" s="341">
        <f t="shared" si="44"/>
        <v>0</v>
      </c>
      <c r="E1065" s="341">
        <f t="shared" si="44"/>
        <v>0</v>
      </c>
      <c r="F1065" s="341">
        <f t="shared" si="44"/>
        <v>0</v>
      </c>
      <c r="G1065" s="341">
        <f t="shared" si="44"/>
        <v>0</v>
      </c>
      <c r="H1065" s="341">
        <f t="shared" si="44"/>
        <v>0</v>
      </c>
      <c r="I1065" s="295"/>
      <c r="J1065" s="295"/>
      <c r="K1065" s="295"/>
    </row>
    <row r="1066" spans="1:11" ht="6" customHeight="1"/>
    <row r="1067" spans="1:11" ht="12.6" customHeight="1">
      <c r="B1067" s="337" t="s">
        <v>566</v>
      </c>
      <c r="C1067" s="337" t="s">
        <v>567</v>
      </c>
      <c r="D1067" s="337" t="s">
        <v>568</v>
      </c>
      <c r="E1067" s="337" t="s">
        <v>569</v>
      </c>
      <c r="F1067" s="337" t="s">
        <v>570</v>
      </c>
      <c r="G1067" s="337" t="s">
        <v>571</v>
      </c>
      <c r="H1067" s="337" t="s">
        <v>572</v>
      </c>
      <c r="I1067" s="488"/>
    </row>
    <row r="1068" spans="1:11" ht="12.6" customHeight="1">
      <c r="A1068" s="338" t="s">
        <v>301</v>
      </c>
      <c r="B1068" s="337" t="str">
        <f>IF('財産集計（入力シート） '!K7=0,"",'財産集計（入力シート） '!K7)</f>
        <v/>
      </c>
      <c r="C1068" s="337" t="str">
        <f>IF('財産集計（入力シート） '!L7=0,"",'財産集計（入力シート） '!L7)</f>
        <v/>
      </c>
      <c r="D1068" s="337" t="str">
        <f>IF('財産集計（入力シート） '!M7=0,"",'財産集計（入力シート） '!M7)</f>
        <v/>
      </c>
      <c r="E1068" s="337" t="str">
        <f>IF('財産集計（入力シート） '!N7=0,"",'財産集計（入力シート） '!N7)</f>
        <v/>
      </c>
      <c r="F1068" s="337" t="str">
        <f>IF('財産集計（入力シート） '!O7=0,"",'財産集計（入力シート） '!O7)</f>
        <v/>
      </c>
      <c r="G1068" s="337" t="str">
        <f>IF('財産集計（入力シート） '!P7=0,"",'財産集計（入力シート） '!P7)</f>
        <v/>
      </c>
      <c r="H1068" s="337" t="str">
        <f>IF('財産集計（入力シート） '!Q7=0,"",'財産集計（入力シート） '!Q7)</f>
        <v/>
      </c>
      <c r="I1068" s="488"/>
    </row>
    <row r="1069" spans="1:11" ht="12.6" customHeight="1">
      <c r="A1069" s="338" t="s">
        <v>303</v>
      </c>
      <c r="B1069" s="301"/>
      <c r="C1069" s="301"/>
      <c r="D1069" s="301"/>
      <c r="E1069" s="301"/>
      <c r="F1069" s="301"/>
      <c r="G1069" s="301"/>
      <c r="H1069" s="301"/>
      <c r="I1069" s="295"/>
      <c r="J1069" s="474"/>
      <c r="K1069" s="474"/>
    </row>
    <row r="1070" spans="1:11" ht="12.6" customHeight="1">
      <c r="A1070" s="340" t="s">
        <v>535</v>
      </c>
      <c r="B1070" s="341">
        <f>'財産集計（入力シート） '!K24+'財産集計（入力シート） '!K25</f>
        <v>0</v>
      </c>
      <c r="C1070" s="341">
        <f>'財産集計（入力シート） '!L24+'財産集計（入力シート） '!L25</f>
        <v>0</v>
      </c>
      <c r="D1070" s="341">
        <f>'財産集計（入力シート） '!M24+'財産集計（入力シート） '!M25</f>
        <v>0</v>
      </c>
      <c r="E1070" s="341">
        <f>'財産集計（入力シート） '!N24+'財産集計（入力シート） '!N25</f>
        <v>0</v>
      </c>
      <c r="F1070" s="341">
        <f>'財産集計（入力シート） '!O24+'財産集計（入力シート） '!O25</f>
        <v>0</v>
      </c>
      <c r="G1070" s="341">
        <f>'財産集計（入力シート） '!P24+'財産集計（入力シート） '!P25</f>
        <v>0</v>
      </c>
      <c r="H1070" s="341">
        <f>'財産集計（入力シート） '!Q24+'財産集計（入力シート） '!Q25</f>
        <v>0</v>
      </c>
      <c r="I1070" s="295"/>
      <c r="J1070" s="295"/>
      <c r="K1070" s="295"/>
    </row>
    <row r="1071" spans="1:11" ht="12.6" customHeight="1">
      <c r="A1071" s="340" t="s">
        <v>536</v>
      </c>
      <c r="B1071" s="341">
        <f>'財産集計（入力シート） '!K26+'財産集計（入力シート） '!K27</f>
        <v>0</v>
      </c>
      <c r="C1071" s="341">
        <f>'財産集計（入力シート） '!L26+'財産集計（入力シート） '!L27</f>
        <v>0</v>
      </c>
      <c r="D1071" s="341">
        <f>'財産集計（入力シート） '!M26+'財産集計（入力シート） '!M27</f>
        <v>0</v>
      </c>
      <c r="E1071" s="341">
        <f>'財産集計（入力シート） '!N26+'財産集計（入力シート） '!N27</f>
        <v>0</v>
      </c>
      <c r="F1071" s="341">
        <f>'財産集計（入力シート） '!O26+'財産集計（入力シート） '!O27</f>
        <v>0</v>
      </c>
      <c r="G1071" s="341">
        <f>'財産集計（入力シート） '!P26+'財産集計（入力シート） '!P27</f>
        <v>0</v>
      </c>
      <c r="H1071" s="341">
        <f>'財産集計（入力シート） '!Q26+'財産集計（入力シート） '!Q27</f>
        <v>0</v>
      </c>
      <c r="I1071" s="295"/>
      <c r="J1071" s="295"/>
      <c r="K1071" s="295"/>
    </row>
    <row r="1072" spans="1:11" ht="12.6" customHeight="1">
      <c r="A1072" s="340" t="s">
        <v>537</v>
      </c>
      <c r="B1072" s="341">
        <f>'財産集計（入力シート） '!K28</f>
        <v>0</v>
      </c>
      <c r="C1072" s="341">
        <f>'財産集計（入力シート） '!L28</f>
        <v>0</v>
      </c>
      <c r="D1072" s="341">
        <f>'財産集計（入力シート） '!M28</f>
        <v>0</v>
      </c>
      <c r="E1072" s="341">
        <f>'財産集計（入力シート） '!N28</f>
        <v>0</v>
      </c>
      <c r="F1072" s="341">
        <f>'財産集計（入力シート） '!O28</f>
        <v>0</v>
      </c>
      <c r="G1072" s="341">
        <f>'財産集計（入力シート） '!P28</f>
        <v>0</v>
      </c>
      <c r="H1072" s="341">
        <f>'財産集計（入力シート） '!Q28</f>
        <v>0</v>
      </c>
      <c r="I1072" s="295"/>
      <c r="J1072" s="295"/>
      <c r="K1072" s="295"/>
    </row>
    <row r="1073" spans="1:11" ht="12.6" customHeight="1">
      <c r="A1073" s="340" t="s">
        <v>538</v>
      </c>
      <c r="B1073" s="341">
        <f>'財産集計（入力シート） '!K29</f>
        <v>0</v>
      </c>
      <c r="C1073" s="341">
        <f>'財産集計（入力シート） '!L29</f>
        <v>0</v>
      </c>
      <c r="D1073" s="341">
        <f>'財産集計（入力シート） '!M29</f>
        <v>0</v>
      </c>
      <c r="E1073" s="341">
        <f>'財産集計（入力シート） '!N29</f>
        <v>0</v>
      </c>
      <c r="F1073" s="341">
        <f>'財産集計（入力シート） '!O29</f>
        <v>0</v>
      </c>
      <c r="G1073" s="341">
        <f>'財産集計（入力シート） '!P29</f>
        <v>0</v>
      </c>
      <c r="H1073" s="341">
        <f>'財産集計（入力シート） '!Q29</f>
        <v>0</v>
      </c>
      <c r="I1073" s="295"/>
      <c r="J1073" s="295"/>
      <c r="K1073" s="295"/>
    </row>
    <row r="1074" spans="1:11" ht="12.6" customHeight="1">
      <c r="A1074" s="340" t="s">
        <v>540</v>
      </c>
      <c r="B1074" s="341"/>
      <c r="C1074" s="341"/>
      <c r="D1074" s="341"/>
      <c r="E1074" s="341"/>
      <c r="F1074" s="341"/>
      <c r="G1074" s="341"/>
      <c r="H1074" s="341"/>
      <c r="I1074" s="295"/>
      <c r="J1074" s="295"/>
      <c r="K1074" s="295"/>
    </row>
    <row r="1075" spans="1:11" ht="12.6" customHeight="1">
      <c r="A1075" s="340" t="s">
        <v>539</v>
      </c>
      <c r="B1075" s="341">
        <f>'財産集計（入力シート） '!K30+'財産集計（入力シート） '!K31</f>
        <v>0</v>
      </c>
      <c r="C1075" s="341">
        <f>'財産集計（入力シート） '!L30+'財産集計（入力シート） '!L31</f>
        <v>0</v>
      </c>
      <c r="D1075" s="341">
        <f>'財産集計（入力シート） '!M30+'財産集計（入力シート） '!M31</f>
        <v>0</v>
      </c>
      <c r="E1075" s="341">
        <f>'財産集計（入力シート） '!N30+'財産集計（入力シート） '!N31</f>
        <v>0</v>
      </c>
      <c r="F1075" s="341">
        <f>'財産集計（入力シート） '!O30+'財産集計（入力シート） '!O31</f>
        <v>0</v>
      </c>
      <c r="G1075" s="341">
        <f>'財産集計（入力シート） '!P30+'財産集計（入力シート） '!P31</f>
        <v>0</v>
      </c>
      <c r="H1075" s="341">
        <f>'財産集計（入力シート） '!Q30+'財産集計（入力シート） '!Q31</f>
        <v>0</v>
      </c>
      <c r="I1075" s="295"/>
      <c r="J1075" s="295"/>
      <c r="K1075" s="295"/>
    </row>
    <row r="1076" spans="1:11" ht="12.6" customHeight="1">
      <c r="A1076" s="340" t="s">
        <v>558</v>
      </c>
      <c r="B1076" s="341">
        <f>'財産集計（入力シート） '!K32+'財産集計（入力シート） '!K33</f>
        <v>0</v>
      </c>
      <c r="C1076" s="341">
        <f>'財産集計（入力シート） '!L32+'財産集計（入力シート） '!L33</f>
        <v>0</v>
      </c>
      <c r="D1076" s="341">
        <f>'財産集計（入力シート） '!M32+'財産集計（入力シート） '!M33</f>
        <v>0</v>
      </c>
      <c r="E1076" s="341">
        <f>'財産集計（入力シート） '!N32+'財産集計（入力シート） '!N33</f>
        <v>0</v>
      </c>
      <c r="F1076" s="341">
        <f>'財産集計（入力シート） '!O32+'財産集計（入力シート） '!O33</f>
        <v>0</v>
      </c>
      <c r="G1076" s="341">
        <f>'財産集計（入力シート） '!P32+'財産集計（入力シート） '!P33</f>
        <v>0</v>
      </c>
      <c r="H1076" s="341">
        <f>'財産集計（入力シート） '!Q32+'財産集計（入力シート） '!Q33</f>
        <v>0</v>
      </c>
      <c r="I1076" s="295"/>
      <c r="J1076" s="295"/>
      <c r="K1076" s="295"/>
    </row>
    <row r="1077" spans="1:11" ht="12.6" customHeight="1">
      <c r="A1077" s="340" t="s">
        <v>542</v>
      </c>
      <c r="B1077" s="487">
        <f>SUM(B1072:B1076)</f>
        <v>0</v>
      </c>
      <c r="C1077" s="487">
        <f t="shared" ref="C1077:H1077" si="45">SUM(C1072:C1076)</f>
        <v>0</v>
      </c>
      <c r="D1077" s="487">
        <f t="shared" si="45"/>
        <v>0</v>
      </c>
      <c r="E1077" s="487">
        <f t="shared" si="45"/>
        <v>0</v>
      </c>
      <c r="F1077" s="487">
        <f t="shared" si="45"/>
        <v>0</v>
      </c>
      <c r="G1077" s="487">
        <f t="shared" si="45"/>
        <v>0</v>
      </c>
      <c r="H1077" s="487">
        <f t="shared" si="45"/>
        <v>0</v>
      </c>
      <c r="I1077" s="295"/>
      <c r="J1077" s="295"/>
      <c r="K1077" s="295"/>
    </row>
    <row r="1078" spans="1:11" ht="12.6" customHeight="1">
      <c r="A1078" s="340" t="s">
        <v>543</v>
      </c>
      <c r="B1078" s="341">
        <f>B1051+B1054+B1059+B1065+B1070+B1071+B1077</f>
        <v>0</v>
      </c>
      <c r="C1078" s="341">
        <f t="shared" ref="C1078:H1078" si="46">C1051+C1054+C1059+C1065+C1070+C1071+C1077</f>
        <v>0</v>
      </c>
      <c r="D1078" s="341">
        <f t="shared" si="46"/>
        <v>0</v>
      </c>
      <c r="E1078" s="341">
        <f t="shared" si="46"/>
        <v>0</v>
      </c>
      <c r="F1078" s="341">
        <f t="shared" si="46"/>
        <v>0</v>
      </c>
      <c r="G1078" s="341">
        <f t="shared" si="46"/>
        <v>0</v>
      </c>
      <c r="H1078" s="341">
        <f t="shared" si="46"/>
        <v>0</v>
      </c>
      <c r="I1078" s="295"/>
      <c r="J1078" s="295"/>
      <c r="K1078" s="295"/>
    </row>
    <row r="1079" spans="1:11" ht="12.6" customHeight="1">
      <c r="A1079" s="340" t="s">
        <v>544</v>
      </c>
      <c r="B1079" s="341"/>
      <c r="C1079" s="341"/>
      <c r="D1079" s="341"/>
      <c r="E1079" s="341"/>
      <c r="F1079" s="341"/>
      <c r="G1079" s="341"/>
      <c r="H1079" s="341"/>
      <c r="I1079" s="295"/>
      <c r="J1079" s="295"/>
      <c r="K1079" s="295"/>
    </row>
    <row r="1080" spans="1:11" ht="12.6" customHeight="1">
      <c r="A1080" s="340" t="s">
        <v>545</v>
      </c>
      <c r="B1080" s="341">
        <f>B1051+B1054+B1055+B1060+B1061+B1074</f>
        <v>0</v>
      </c>
      <c r="C1080" s="341">
        <f t="shared" ref="C1080:H1080" si="47">C1051+C1054+C1055+C1060+C1061+C1074</f>
        <v>0</v>
      </c>
      <c r="D1080" s="341">
        <f t="shared" si="47"/>
        <v>0</v>
      </c>
      <c r="E1080" s="341">
        <f t="shared" si="47"/>
        <v>0</v>
      </c>
      <c r="F1080" s="341">
        <f t="shared" si="47"/>
        <v>0</v>
      </c>
      <c r="G1080" s="341">
        <f t="shared" si="47"/>
        <v>0</v>
      </c>
      <c r="H1080" s="341">
        <f t="shared" si="47"/>
        <v>0</v>
      </c>
      <c r="I1080" s="295"/>
      <c r="J1080" s="295"/>
      <c r="K1080" s="295"/>
    </row>
    <row r="1081" spans="1:11" ht="12.6" customHeight="1">
      <c r="A1081" s="340" t="s">
        <v>546</v>
      </c>
      <c r="B1081" s="341"/>
      <c r="C1081" s="341"/>
      <c r="D1081" s="341"/>
      <c r="E1081" s="341"/>
      <c r="F1081" s="341"/>
      <c r="G1081" s="341"/>
      <c r="H1081" s="341"/>
      <c r="I1081" s="295"/>
      <c r="J1081" s="295"/>
      <c r="K1081" s="295"/>
    </row>
    <row r="1082" spans="1:11" ht="12.6" customHeight="1">
      <c r="A1082" s="340" t="s">
        <v>547</v>
      </c>
      <c r="B1082" s="341"/>
      <c r="C1082" s="341"/>
      <c r="D1082" s="341"/>
      <c r="E1082" s="341"/>
      <c r="F1082" s="341"/>
      <c r="G1082" s="341"/>
      <c r="H1082" s="341"/>
      <c r="I1082" s="295"/>
      <c r="J1082" s="295"/>
      <c r="K1082" s="295"/>
    </row>
    <row r="1083" spans="1:11" ht="12.6" customHeight="1">
      <c r="A1083" s="340" t="s">
        <v>548</v>
      </c>
      <c r="B1083" s="341">
        <f>'財産集計（入力シート） '!K42</f>
        <v>0</v>
      </c>
      <c r="C1083" s="341">
        <f>'財産集計（入力シート） '!L42</f>
        <v>0</v>
      </c>
      <c r="D1083" s="341">
        <f>'財産集計（入力シート） '!M42</f>
        <v>0</v>
      </c>
      <c r="E1083" s="341">
        <f>'財産集計（入力シート） '!N42</f>
        <v>0</v>
      </c>
      <c r="F1083" s="341">
        <f>'財産集計（入力シート） '!O42</f>
        <v>0</v>
      </c>
      <c r="G1083" s="341">
        <f>'財産集計（入力シート） '!P42</f>
        <v>0</v>
      </c>
      <c r="H1083" s="341">
        <f>'財産集計（入力シート） '!Q42</f>
        <v>0</v>
      </c>
      <c r="I1083" s="295"/>
      <c r="J1083" s="295"/>
      <c r="K1083" s="295"/>
    </row>
    <row r="1084" spans="1:11" ht="12.6" customHeight="1">
      <c r="A1084" s="340" t="s">
        <v>549</v>
      </c>
      <c r="B1084" s="341">
        <f>'財産集計（入力シート） '!K43</f>
        <v>0</v>
      </c>
      <c r="C1084" s="341">
        <f>'財産集計（入力シート） '!L43</f>
        <v>0</v>
      </c>
      <c r="D1084" s="341">
        <f>'財産集計（入力シート） '!M43</f>
        <v>0</v>
      </c>
      <c r="E1084" s="341">
        <f>'財産集計（入力シート） '!N43</f>
        <v>0</v>
      </c>
      <c r="F1084" s="341">
        <f>'財産集計（入力シート） '!O43</f>
        <v>0</v>
      </c>
      <c r="G1084" s="341">
        <f>'財産集計（入力シート） '!P43</f>
        <v>0</v>
      </c>
      <c r="H1084" s="341">
        <f>'財産集計（入力シート） '!Q43</f>
        <v>0</v>
      </c>
      <c r="I1084" s="295"/>
      <c r="J1084" s="295"/>
      <c r="K1084" s="295"/>
    </row>
    <row r="1085" spans="1:11" ht="12.6" customHeight="1">
      <c r="A1085" s="340" t="s">
        <v>550</v>
      </c>
      <c r="B1085" s="341">
        <f>'財産集計（入力シート） '!K42+'財産集計（入力シート） '!K43</f>
        <v>0</v>
      </c>
      <c r="C1085" s="341">
        <f>'財産集計（入力シート） '!L42+'財産集計（入力シート） '!L43</f>
        <v>0</v>
      </c>
      <c r="D1085" s="341">
        <f>'財産集計（入力シート） '!M42+'財産集計（入力シート） '!M43</f>
        <v>0</v>
      </c>
      <c r="E1085" s="341">
        <f>'財産集計（入力シート） '!N42+'財産集計（入力シート） '!N43</f>
        <v>0</v>
      </c>
      <c r="F1085" s="341">
        <f>'財産集計（入力シート） '!O42+'財産集計（入力シート） '!O43</f>
        <v>0</v>
      </c>
      <c r="G1085" s="341">
        <f>'財産集計（入力シート） '!P42+'財産集計（入力シート） '!P43</f>
        <v>0</v>
      </c>
      <c r="H1085" s="341">
        <f>'財産集計（入力シート） '!Q42+'財産集計（入力シート） '!Q43</f>
        <v>0</v>
      </c>
      <c r="I1085" s="295"/>
      <c r="J1085" s="295"/>
      <c r="K1085" s="295"/>
    </row>
    <row r="1086" spans="1:11" ht="12.6" customHeight="1">
      <c r="A1086" s="340" t="s">
        <v>551</v>
      </c>
      <c r="B1086" s="341">
        <f>B1078+B1079-B1085</f>
        <v>0</v>
      </c>
      <c r="C1086" s="341">
        <f t="shared" ref="C1086:H1086" si="48">C1078+C1079-C1085</f>
        <v>0</v>
      </c>
      <c r="D1086" s="341">
        <f t="shared" si="48"/>
        <v>0</v>
      </c>
      <c r="E1086" s="341">
        <f t="shared" si="48"/>
        <v>0</v>
      </c>
      <c r="F1086" s="341">
        <f t="shared" si="48"/>
        <v>0</v>
      </c>
      <c r="G1086" s="341">
        <f t="shared" si="48"/>
        <v>0</v>
      </c>
      <c r="H1086" s="341">
        <f t="shared" si="48"/>
        <v>0</v>
      </c>
      <c r="I1086" s="295"/>
      <c r="J1086" s="295"/>
      <c r="K1086" s="295"/>
    </row>
    <row r="1087" spans="1:11" ht="12.6" customHeight="1">
      <c r="A1087" s="340" t="s">
        <v>552</v>
      </c>
      <c r="B1087" s="341">
        <f>'財産集計（入力シート） '!K45+'財産集計（入力シート） '!K46</f>
        <v>0</v>
      </c>
      <c r="C1087" s="341">
        <f>'財産集計（入力シート） '!L45+'財産集計（入力シート） '!L46</f>
        <v>0</v>
      </c>
      <c r="D1087" s="341">
        <f>'財産集計（入力シート） '!M45+'財産集計（入力シート） '!M46</f>
        <v>0</v>
      </c>
      <c r="E1087" s="341">
        <f>'財産集計（入力シート） '!N45+'財産集計（入力シート） '!N46</f>
        <v>0</v>
      </c>
      <c r="F1087" s="341">
        <f>'財産集計（入力シート） '!O45+'財産集計（入力シート） '!O46</f>
        <v>0</v>
      </c>
      <c r="G1087" s="341">
        <f>'財産集計（入力シート） '!P45+'財産集計（入力シート） '!P46</f>
        <v>0</v>
      </c>
      <c r="H1087" s="341">
        <f>'財産集計（入力シート） '!Q45+'財産集計（入力シート） '!Q46</f>
        <v>0</v>
      </c>
      <c r="I1087" s="295"/>
      <c r="J1087" s="295"/>
      <c r="K1087" s="295"/>
    </row>
    <row r="1088" spans="1:11" ht="12.6" customHeight="1">
      <c r="A1088" s="340" t="s">
        <v>553</v>
      </c>
      <c r="B1088" s="341">
        <f>B1086+B1087</f>
        <v>0</v>
      </c>
      <c r="C1088" s="341">
        <f t="shared" ref="C1088:H1088" si="49">C1086+C1087</f>
        <v>0</v>
      </c>
      <c r="D1088" s="341">
        <f t="shared" si="49"/>
        <v>0</v>
      </c>
      <c r="E1088" s="341">
        <f t="shared" si="49"/>
        <v>0</v>
      </c>
      <c r="F1088" s="341">
        <f t="shared" si="49"/>
        <v>0</v>
      </c>
      <c r="G1088" s="341">
        <f t="shared" si="49"/>
        <v>0</v>
      </c>
      <c r="H1088" s="341">
        <f t="shared" si="49"/>
        <v>0</v>
      </c>
      <c r="I1088" s="295"/>
      <c r="J1088" s="295"/>
      <c r="K1088" s="295"/>
    </row>
    <row r="1089" spans="1:11" ht="12.6" customHeight="1">
      <c r="A1089" s="340" t="s">
        <v>554</v>
      </c>
      <c r="B1089" s="341">
        <f>ROUNDDOWN(B1088,-3)</f>
        <v>0</v>
      </c>
      <c r="C1089" s="341">
        <f t="shared" ref="C1089:H1089" si="50">ROUNDDOWN(C1088,-3)</f>
        <v>0</v>
      </c>
      <c r="D1089" s="341">
        <f t="shared" si="50"/>
        <v>0</v>
      </c>
      <c r="E1089" s="341">
        <f t="shared" si="50"/>
        <v>0</v>
      </c>
      <c r="F1089" s="341">
        <f t="shared" si="50"/>
        <v>0</v>
      </c>
      <c r="G1089" s="341">
        <f t="shared" si="50"/>
        <v>0</v>
      </c>
      <c r="H1089" s="341">
        <f t="shared" si="50"/>
        <v>0</v>
      </c>
      <c r="I1089" s="295"/>
      <c r="J1089" s="295"/>
      <c r="K1089" s="295"/>
    </row>
  </sheetData>
  <sheetProtection password="E915" sheet="1"/>
  <mergeCells count="479">
    <mergeCell ref="C924:D924"/>
    <mergeCell ref="A924:A925"/>
    <mergeCell ref="B924:B925"/>
    <mergeCell ref="F924:F925"/>
    <mergeCell ref="G924:H924"/>
    <mergeCell ref="I606:I607"/>
    <mergeCell ref="A606:A607"/>
    <mergeCell ref="B606:B607"/>
    <mergeCell ref="C606:C607"/>
    <mergeCell ref="D606:D607"/>
    <mergeCell ref="G606:G607"/>
    <mergeCell ref="H606:H607"/>
    <mergeCell ref="C616:C617"/>
    <mergeCell ref="G612:G613"/>
    <mergeCell ref="H612:H613"/>
    <mergeCell ref="D616:D617"/>
    <mergeCell ref="G616:G617"/>
    <mergeCell ref="H616:H617"/>
    <mergeCell ref="B791:B793"/>
    <mergeCell ref="C791:C792"/>
    <mergeCell ref="D791:D793"/>
    <mergeCell ref="A800:A805"/>
    <mergeCell ref="B800:B802"/>
    <mergeCell ref="C800:C801"/>
    <mergeCell ref="I602:I603"/>
    <mergeCell ref="A604:A605"/>
    <mergeCell ref="B604:B605"/>
    <mergeCell ref="C604:C605"/>
    <mergeCell ref="D604:D605"/>
    <mergeCell ref="G604:G605"/>
    <mergeCell ref="H604:H605"/>
    <mergeCell ref="I604:I605"/>
    <mergeCell ref="A602:A603"/>
    <mergeCell ref="B602:B603"/>
    <mergeCell ref="C602:C603"/>
    <mergeCell ref="D602:D603"/>
    <mergeCell ref="G602:G603"/>
    <mergeCell ref="H602:H603"/>
    <mergeCell ref="E230:E231"/>
    <mergeCell ref="A416:E416"/>
    <mergeCell ref="A417:E417"/>
    <mergeCell ref="A411:E411"/>
    <mergeCell ref="A420:E420"/>
    <mergeCell ref="A421:E421"/>
    <mergeCell ref="A386:E386"/>
    <mergeCell ref="A418:E418"/>
    <mergeCell ref="A410:C410"/>
    <mergeCell ref="A412:E412"/>
    <mergeCell ref="A419:E419"/>
    <mergeCell ref="A380:E380"/>
    <mergeCell ref="A381:E381"/>
    <mergeCell ref="A382:E382"/>
    <mergeCell ref="A383:E383"/>
    <mergeCell ref="A384:E384"/>
    <mergeCell ref="D800:D802"/>
    <mergeCell ref="B803:B805"/>
    <mergeCell ref="C803:C804"/>
    <mergeCell ref="D803:D805"/>
    <mergeCell ref="D779:D781"/>
    <mergeCell ref="A776:A781"/>
    <mergeCell ref="A782:A787"/>
    <mergeCell ref="C782:C783"/>
    <mergeCell ref="D782:D784"/>
    <mergeCell ref="B785:B787"/>
    <mergeCell ref="C785:C786"/>
    <mergeCell ref="D785:D787"/>
    <mergeCell ref="B776:B778"/>
    <mergeCell ref="D776:D778"/>
    <mergeCell ref="A752:B752"/>
    <mergeCell ref="A794:A799"/>
    <mergeCell ref="B794:B796"/>
    <mergeCell ref="C794:C795"/>
    <mergeCell ref="C776:C777"/>
    <mergeCell ref="C779:C780"/>
    <mergeCell ref="B779:B781"/>
    <mergeCell ref="A788:A793"/>
    <mergeCell ref="B788:B790"/>
    <mergeCell ref="C788:C789"/>
    <mergeCell ref="A747:C747"/>
    <mergeCell ref="A748:C748"/>
    <mergeCell ref="A749:C749"/>
    <mergeCell ref="A424:E424"/>
    <mergeCell ref="C612:C613"/>
    <mergeCell ref="D612:D613"/>
    <mergeCell ref="A614:A615"/>
    <mergeCell ref="C622:C623"/>
    <mergeCell ref="B616:B617"/>
    <mergeCell ref="A624:A625"/>
    <mergeCell ref="B624:B625"/>
    <mergeCell ref="C624:C625"/>
    <mergeCell ref="D624:D625"/>
    <mergeCell ref="B653:B654"/>
    <mergeCell ref="C653:C654"/>
    <mergeCell ref="D653:D654"/>
    <mergeCell ref="A667:A668"/>
    <mergeCell ref="B667:B668"/>
    <mergeCell ref="B669:B670"/>
    <mergeCell ref="A669:A670"/>
    <mergeCell ref="G248:G249"/>
    <mergeCell ref="H248:H249"/>
    <mergeCell ref="A248:A249"/>
    <mergeCell ref="F230:F231"/>
    <mergeCell ref="H465:I465"/>
    <mergeCell ref="A296:G297"/>
    <mergeCell ref="H302:H303"/>
    <mergeCell ref="A387:C387"/>
    <mergeCell ref="A425:E425"/>
    <mergeCell ref="A385:E385"/>
    <mergeCell ref="I230:I231"/>
    <mergeCell ref="F302:F303"/>
    <mergeCell ref="G230:G231"/>
    <mergeCell ref="H230:H231"/>
    <mergeCell ref="A378:C378"/>
    <mergeCell ref="A377:C377"/>
    <mergeCell ref="C388:E388"/>
    <mergeCell ref="F388:H388"/>
    <mergeCell ref="A379:E379"/>
    <mergeCell ref="E248:E249"/>
    <mergeCell ref="A423:E423"/>
    <mergeCell ref="A422:E422"/>
    <mergeCell ref="A230:A231"/>
    <mergeCell ref="B230:B231"/>
    <mergeCell ref="H467:I467"/>
    <mergeCell ref="H468:I468"/>
    <mergeCell ref="H508:I508"/>
    <mergeCell ref="H509:I509"/>
    <mergeCell ref="A413:E413"/>
    <mergeCell ref="A414:E414"/>
    <mergeCell ref="A415:E415"/>
    <mergeCell ref="G420:H420"/>
    <mergeCell ref="H466:I466"/>
    <mergeCell ref="D455:D456"/>
    <mergeCell ref="H510:I510"/>
    <mergeCell ref="H511:I511"/>
    <mergeCell ref="A596:A597"/>
    <mergeCell ref="A599:G599"/>
    <mergeCell ref="H599:I599"/>
    <mergeCell ref="A600:A601"/>
    <mergeCell ref="B600:B601"/>
    <mergeCell ref="C600:C601"/>
    <mergeCell ref="D600:D601"/>
    <mergeCell ref="G600:G601"/>
    <mergeCell ref="H600:H601"/>
    <mergeCell ref="I600:I601"/>
    <mergeCell ref="H610:H611"/>
    <mergeCell ref="I610:I611"/>
    <mergeCell ref="A608:A609"/>
    <mergeCell ref="B608:B609"/>
    <mergeCell ref="C608:C609"/>
    <mergeCell ref="D608:D609"/>
    <mergeCell ref="G608:G609"/>
    <mergeCell ref="H608:H609"/>
    <mergeCell ref="I608:I609"/>
    <mergeCell ref="A610:A611"/>
    <mergeCell ref="B610:B611"/>
    <mergeCell ref="C610:C611"/>
    <mergeCell ref="D610:D611"/>
    <mergeCell ref="G610:G611"/>
    <mergeCell ref="I612:I613"/>
    <mergeCell ref="A612:A613"/>
    <mergeCell ref="B614:B615"/>
    <mergeCell ref="C614:C615"/>
    <mergeCell ref="D614:D615"/>
    <mergeCell ref="G614:G615"/>
    <mergeCell ref="H614:H615"/>
    <mergeCell ref="I614:I615"/>
    <mergeCell ref="B612:B613"/>
    <mergeCell ref="I616:I617"/>
    <mergeCell ref="H620:H621"/>
    <mergeCell ref="I620:I621"/>
    <mergeCell ref="A618:A619"/>
    <mergeCell ref="B618:B619"/>
    <mergeCell ref="C618:C619"/>
    <mergeCell ref="D618:D619"/>
    <mergeCell ref="G618:G619"/>
    <mergeCell ref="H618:H619"/>
    <mergeCell ref="A616:A617"/>
    <mergeCell ref="I618:I619"/>
    <mergeCell ref="A620:A621"/>
    <mergeCell ref="B620:B621"/>
    <mergeCell ref="C620:C621"/>
    <mergeCell ref="D620:D621"/>
    <mergeCell ref="G620:G621"/>
    <mergeCell ref="I622:I623"/>
    <mergeCell ref="A622:A623"/>
    <mergeCell ref="B622:B623"/>
    <mergeCell ref="G624:G625"/>
    <mergeCell ref="H624:H625"/>
    <mergeCell ref="D622:D623"/>
    <mergeCell ref="G622:G623"/>
    <mergeCell ref="I628:I629"/>
    <mergeCell ref="A626:A627"/>
    <mergeCell ref="B626:B627"/>
    <mergeCell ref="C626:C627"/>
    <mergeCell ref="D626:D627"/>
    <mergeCell ref="G626:G627"/>
    <mergeCell ref="H626:H627"/>
    <mergeCell ref="I624:I625"/>
    <mergeCell ref="H622:H623"/>
    <mergeCell ref="I630:I631"/>
    <mergeCell ref="A632:A633"/>
    <mergeCell ref="H636:H637"/>
    <mergeCell ref="I626:I627"/>
    <mergeCell ref="A628:A629"/>
    <mergeCell ref="B628:B629"/>
    <mergeCell ref="C628:C629"/>
    <mergeCell ref="D628:D629"/>
    <mergeCell ref="G628:G629"/>
    <mergeCell ref="H628:H629"/>
    <mergeCell ref="A630:A631"/>
    <mergeCell ref="B630:B631"/>
    <mergeCell ref="C630:C631"/>
    <mergeCell ref="D630:D631"/>
    <mergeCell ref="G630:G631"/>
    <mergeCell ref="H630:H631"/>
    <mergeCell ref="C632:C633"/>
    <mergeCell ref="D632:D633"/>
    <mergeCell ref="G636:G637"/>
    <mergeCell ref="I636:I637"/>
    <mergeCell ref="A636:A637"/>
    <mergeCell ref="B636:B637"/>
    <mergeCell ref="C636:C637"/>
    <mergeCell ref="H632:H633"/>
    <mergeCell ref="I632:I633"/>
    <mergeCell ref="G634:G635"/>
    <mergeCell ref="B724:B725"/>
    <mergeCell ref="C724:C725"/>
    <mergeCell ref="D724:I724"/>
    <mergeCell ref="A737:C737"/>
    <mergeCell ref="A739:C739"/>
    <mergeCell ref="A745:C745"/>
    <mergeCell ref="B811:B812"/>
    <mergeCell ref="D811:D812"/>
    <mergeCell ref="G811:G812"/>
    <mergeCell ref="H811:H812"/>
    <mergeCell ref="B782:B784"/>
    <mergeCell ref="B797:B799"/>
    <mergeCell ref="C797:C798"/>
    <mergeCell ref="D797:D799"/>
    <mergeCell ref="D794:D796"/>
    <mergeCell ref="D788:D790"/>
    <mergeCell ref="A709:A712"/>
    <mergeCell ref="A724:A725"/>
    <mergeCell ref="H647:H648"/>
    <mergeCell ref="B647:B648"/>
    <mergeCell ref="C647:C648"/>
    <mergeCell ref="D647:D648"/>
    <mergeCell ref="B821:B822"/>
    <mergeCell ref="D821:D822"/>
    <mergeCell ref="G821:G822"/>
    <mergeCell ref="H821:H822"/>
    <mergeCell ref="A823:A824"/>
    <mergeCell ref="G823:G824"/>
    <mergeCell ref="H819:H820"/>
    <mergeCell ref="B813:B814"/>
    <mergeCell ref="D813:D814"/>
    <mergeCell ref="G813:G814"/>
    <mergeCell ref="H813:H814"/>
    <mergeCell ref="B815:B816"/>
    <mergeCell ref="D815:D816"/>
    <mergeCell ref="G815:G816"/>
    <mergeCell ref="H815:H816"/>
    <mergeCell ref="B817:B818"/>
    <mergeCell ref="B819:B820"/>
    <mergeCell ref="D819:D820"/>
    <mergeCell ref="G819:G820"/>
    <mergeCell ref="D817:D818"/>
    <mergeCell ref="G817:G818"/>
    <mergeCell ref="H817:H818"/>
    <mergeCell ref="B832:B833"/>
    <mergeCell ref="A834:A835"/>
    <mergeCell ref="B834:B835"/>
    <mergeCell ref="C834:C835"/>
    <mergeCell ref="C832:C833"/>
    <mergeCell ref="A855:A857"/>
    <mergeCell ref="B855:B857"/>
    <mergeCell ref="C855:C857"/>
    <mergeCell ref="H823:H824"/>
    <mergeCell ref="A828:A831"/>
    <mergeCell ref="B828:B829"/>
    <mergeCell ref="C828:C829"/>
    <mergeCell ref="D831:E831"/>
    <mergeCell ref="C3:D3"/>
    <mergeCell ref="C4:D4"/>
    <mergeCell ref="C5:D5"/>
    <mergeCell ref="B150:C150"/>
    <mergeCell ref="C302:C303"/>
    <mergeCell ref="D302:D303"/>
    <mergeCell ref="C230:C231"/>
    <mergeCell ref="A116:B116"/>
    <mergeCell ref="C116:D116"/>
    <mergeCell ref="A7:B7"/>
    <mergeCell ref="A114:C114"/>
    <mergeCell ref="B134:D134"/>
    <mergeCell ref="B130:D130"/>
    <mergeCell ref="B121:D121"/>
    <mergeCell ref="A225:C225"/>
    <mergeCell ref="B248:B249"/>
    <mergeCell ref="D248:D249"/>
    <mergeCell ref="D230:D231"/>
    <mergeCell ref="G647:G648"/>
    <mergeCell ref="A634:A635"/>
    <mergeCell ref="B634:B635"/>
    <mergeCell ref="C634:C635"/>
    <mergeCell ref="D634:D635"/>
    <mergeCell ref="B632:B633"/>
    <mergeCell ref="H651:H652"/>
    <mergeCell ref="I647:I648"/>
    <mergeCell ref="I649:I650"/>
    <mergeCell ref="I651:I652"/>
    <mergeCell ref="A649:A650"/>
    <mergeCell ref="B649:B650"/>
    <mergeCell ref="C649:C650"/>
    <mergeCell ref="D649:D650"/>
    <mergeCell ref="G649:G650"/>
    <mergeCell ref="A647:A648"/>
    <mergeCell ref="H640:H641"/>
    <mergeCell ref="H649:H650"/>
    <mergeCell ref="H634:H635"/>
    <mergeCell ref="I634:I635"/>
    <mergeCell ref="A638:A639"/>
    <mergeCell ref="B638:B639"/>
    <mergeCell ref="C638:C639"/>
    <mergeCell ref="G638:G639"/>
    <mergeCell ref="G653:G654"/>
    <mergeCell ref="G655:G656"/>
    <mergeCell ref="H653:H654"/>
    <mergeCell ref="I653:I654"/>
    <mergeCell ref="A651:A652"/>
    <mergeCell ref="B651:B652"/>
    <mergeCell ref="H657:H658"/>
    <mergeCell ref="I657:I658"/>
    <mergeCell ref="A655:A656"/>
    <mergeCell ref="B655:B656"/>
    <mergeCell ref="C655:C656"/>
    <mergeCell ref="D655:D656"/>
    <mergeCell ref="A653:A654"/>
    <mergeCell ref="C651:C652"/>
    <mergeCell ref="D651:D652"/>
    <mergeCell ref="G651:G652"/>
    <mergeCell ref="I655:I656"/>
    <mergeCell ref="H655:H656"/>
    <mergeCell ref="A661:A662"/>
    <mergeCell ref="A657:A658"/>
    <mergeCell ref="B657:B658"/>
    <mergeCell ref="C657:C658"/>
    <mergeCell ref="D657:D658"/>
    <mergeCell ref="C661:C662"/>
    <mergeCell ref="D661:D662"/>
    <mergeCell ref="B661:B662"/>
    <mergeCell ref="G657:G658"/>
    <mergeCell ref="I663:I664"/>
    <mergeCell ref="D665:D666"/>
    <mergeCell ref="G665:G666"/>
    <mergeCell ref="G663:G664"/>
    <mergeCell ref="I661:I662"/>
    <mergeCell ref="A659:A660"/>
    <mergeCell ref="B659:B660"/>
    <mergeCell ref="H665:H666"/>
    <mergeCell ref="I665:I666"/>
    <mergeCell ref="A663:A664"/>
    <mergeCell ref="A665:A666"/>
    <mergeCell ref="B665:B666"/>
    <mergeCell ref="C665:C666"/>
    <mergeCell ref="B663:B664"/>
    <mergeCell ref="C663:C664"/>
    <mergeCell ref="D663:D664"/>
    <mergeCell ref="H661:H662"/>
    <mergeCell ref="G661:G662"/>
    <mergeCell ref="H663:H664"/>
    <mergeCell ref="I659:I660"/>
    <mergeCell ref="C659:C660"/>
    <mergeCell ref="D659:D660"/>
    <mergeCell ref="G659:G660"/>
    <mergeCell ref="H659:H660"/>
    <mergeCell ref="I669:I670"/>
    <mergeCell ref="I667:I668"/>
    <mergeCell ref="C667:C668"/>
    <mergeCell ref="D667:D668"/>
    <mergeCell ref="G667:G668"/>
    <mergeCell ref="H667:H668"/>
    <mergeCell ref="D669:D670"/>
    <mergeCell ref="G669:G670"/>
    <mergeCell ref="H669:H670"/>
    <mergeCell ref="C669:C670"/>
    <mergeCell ref="B677:B678"/>
    <mergeCell ref="C677:C678"/>
    <mergeCell ref="A675:A676"/>
    <mergeCell ref="B675:B676"/>
    <mergeCell ref="D677:D678"/>
    <mergeCell ref="G677:G678"/>
    <mergeCell ref="I673:I674"/>
    <mergeCell ref="A671:A672"/>
    <mergeCell ref="B671:B672"/>
    <mergeCell ref="C671:C672"/>
    <mergeCell ref="D671:D672"/>
    <mergeCell ref="I671:I672"/>
    <mergeCell ref="A673:A674"/>
    <mergeCell ref="B673:B674"/>
    <mergeCell ref="C673:C674"/>
    <mergeCell ref="D673:D674"/>
    <mergeCell ref="G673:G674"/>
    <mergeCell ref="H673:H674"/>
    <mergeCell ref="H671:H672"/>
    <mergeCell ref="G671:G672"/>
    <mergeCell ref="F636:F637"/>
    <mergeCell ref="D636:D637"/>
    <mergeCell ref="E636:E637"/>
    <mergeCell ref="I640:I641"/>
    <mergeCell ref="I642:I643"/>
    <mergeCell ref="H638:H639"/>
    <mergeCell ref="I638:I639"/>
    <mergeCell ref="A640:A641"/>
    <mergeCell ref="B640:B641"/>
    <mergeCell ref="C640:C641"/>
    <mergeCell ref="D640:D641"/>
    <mergeCell ref="G640:G641"/>
    <mergeCell ref="D638:D639"/>
    <mergeCell ref="C642:C643"/>
    <mergeCell ref="D642:D643"/>
    <mergeCell ref="G642:G643"/>
    <mergeCell ref="H642:H643"/>
    <mergeCell ref="I679:I680"/>
    <mergeCell ref="A642:A643"/>
    <mergeCell ref="B642:B643"/>
    <mergeCell ref="A681:A682"/>
    <mergeCell ref="B681:B682"/>
    <mergeCell ref="C681:C682"/>
    <mergeCell ref="D681:D682"/>
    <mergeCell ref="G681:G682"/>
    <mergeCell ref="A679:A680"/>
    <mergeCell ref="H679:H680"/>
    <mergeCell ref="I681:I682"/>
    <mergeCell ref="H681:H682"/>
    <mergeCell ref="B679:B680"/>
    <mergeCell ref="C679:C680"/>
    <mergeCell ref="D679:D680"/>
    <mergeCell ref="G679:G680"/>
    <mergeCell ref="I675:I676"/>
    <mergeCell ref="C675:C676"/>
    <mergeCell ref="D675:D676"/>
    <mergeCell ref="G675:G676"/>
    <mergeCell ref="H675:H676"/>
    <mergeCell ref="I677:I678"/>
    <mergeCell ref="H677:H678"/>
    <mergeCell ref="A677:A678"/>
    <mergeCell ref="A683:A684"/>
    <mergeCell ref="B683:B684"/>
    <mergeCell ref="C683:C684"/>
    <mergeCell ref="D683:D684"/>
    <mergeCell ref="G683:G684"/>
    <mergeCell ref="H683:H684"/>
    <mergeCell ref="D685:D686"/>
    <mergeCell ref="H685:H686"/>
    <mergeCell ref="I683:I684"/>
    <mergeCell ref="A966:C966"/>
    <mergeCell ref="I687:I688"/>
    <mergeCell ref="A685:A686"/>
    <mergeCell ref="B685:B686"/>
    <mergeCell ref="A687:A688"/>
    <mergeCell ref="B687:B688"/>
    <mergeCell ref="H687:H688"/>
    <mergeCell ref="D687:D688"/>
    <mergeCell ref="G687:G688"/>
    <mergeCell ref="G685:G686"/>
    <mergeCell ref="C687:C688"/>
    <mergeCell ref="G886:G887"/>
    <mergeCell ref="A884:D884"/>
    <mergeCell ref="A886:A887"/>
    <mergeCell ref="B886:B887"/>
    <mergeCell ref="C886:C887"/>
    <mergeCell ref="D886:D887"/>
    <mergeCell ref="E886:F886"/>
    <mergeCell ref="I685:I686"/>
    <mergeCell ref="C685:C686"/>
    <mergeCell ref="A866:A868"/>
    <mergeCell ref="B866:B868"/>
    <mergeCell ref="C866:C868"/>
    <mergeCell ref="A832:A833"/>
  </mergeCells>
  <phoneticPr fontId="2"/>
  <pageMargins left="0" right="0" top="0.35433070866141736" bottom="0.35433070866141736" header="0.31496062992125984" footer="0.31496062992125984"/>
  <pageSetup paperSize="9" orientation="landscape" verticalDpi="0" r:id="rId1"/>
  <ignoredErrors>
    <ignoredError sqref="F423 B154 I122:I128 I130 I129 I134 I131:I133 I135 I136:I139 B325 D325:E32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財産集計（入力シート） </vt:lpstr>
      <vt:lpstr>税額計算（出力シート） </vt:lpstr>
      <vt:lpstr>申告書記入項目一覧表</vt:lpstr>
      <vt:lpstr>'財産集計（入力シート） '!Print_Area</vt:lpstr>
      <vt:lpstr>'税額計算（出力シート） '!Print_Area</vt:lpstr>
    </vt:vector>
  </TitlesOfParts>
  <Company>JDL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小林会計事務所</dc:creator>
  <cp:lastModifiedBy>KobayashiKaikei</cp:lastModifiedBy>
  <cp:lastPrinted>2010-06-26T11:04:58Z</cp:lastPrinted>
  <dcterms:created xsi:type="dcterms:W3CDTF">2004-06-03T05:43:38Z</dcterms:created>
  <dcterms:modified xsi:type="dcterms:W3CDTF">2010-06-30T05:25:16Z</dcterms:modified>
</cp:coreProperties>
</file>