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8045" windowHeight="7350"/>
  </bookViews>
  <sheets>
    <sheet name="各理論値の計算" sheetId="5" r:id="rId1"/>
    <sheet name="種籾量の理論値" sheetId="10" r:id="rId2"/>
    <sheet name="付録Ⅰ" sheetId="9" r:id="rId3"/>
    <sheet name="付録Ⅱ" sheetId="7" r:id="rId4"/>
    <sheet name="付録Ⅲ" sheetId="14" r:id="rId5"/>
  </sheets>
  <definedNames>
    <definedName name="_xlnm.Print_Area" localSheetId="0">各理論値の計算!$A$1:$K$48</definedName>
    <definedName name="_xlnm.Print_Area" localSheetId="1">種籾量の理論値!$A$1:$I$39</definedName>
    <definedName name="_xlnm.Print_Area" localSheetId="2">付録Ⅰ!$A$1:$K$41</definedName>
    <definedName name="_xlnm.Print_Area" localSheetId="3">付録Ⅱ!$A$1:$I$105</definedName>
    <definedName name="_xlnm.Print_Area" localSheetId="4">付録Ⅲ!$A$1:$H$34</definedName>
  </definedNames>
  <calcPr calcId="152511"/>
</workbook>
</file>

<file path=xl/calcChain.xml><?xml version="1.0" encoding="utf-8"?>
<calcChain xmlns="http://schemas.openxmlformats.org/spreadsheetml/2006/main">
  <c r="F15" i="14" l="1"/>
  <c r="E15" i="14"/>
  <c r="D15" i="14"/>
  <c r="C15" i="14"/>
  <c r="B15" i="14"/>
  <c r="F14" i="14"/>
  <c r="E14" i="14"/>
  <c r="D14" i="14"/>
  <c r="C14" i="14"/>
  <c r="B14" i="14"/>
  <c r="F12" i="14"/>
  <c r="E12" i="14"/>
  <c r="D12" i="14"/>
  <c r="C12" i="14"/>
  <c r="G28" i="14"/>
  <c r="G23" i="14"/>
  <c r="F28" i="14"/>
  <c r="F23" i="14"/>
  <c r="B12" i="14" l="1"/>
  <c r="F13" i="14"/>
  <c r="D13" i="14"/>
  <c r="C13" i="14"/>
  <c r="E13" i="14"/>
  <c r="B13" i="14"/>
  <c r="C11" i="14"/>
  <c r="D11" i="14"/>
  <c r="E11" i="14"/>
  <c r="F11" i="14"/>
  <c r="B11" i="14"/>
  <c r="H20" i="9" l="1"/>
  <c r="D13" i="10"/>
  <c r="E32" i="10"/>
  <c r="F50" i="9" l="1"/>
  <c r="F51" i="9"/>
  <c r="F52" i="9"/>
  <c r="F53" i="9"/>
  <c r="F54" i="9"/>
  <c r="F49" i="9"/>
  <c r="C50" i="9"/>
  <c r="C51" i="9"/>
  <c r="C52" i="9"/>
  <c r="C53" i="9"/>
  <c r="C54" i="9"/>
  <c r="C49" i="9"/>
  <c r="B21" i="10" l="1"/>
  <c r="D37" i="10"/>
  <c r="D32" i="10"/>
  <c r="D27" i="10"/>
  <c r="B9" i="10"/>
  <c r="E62" i="7" l="1"/>
  <c r="C66" i="7" s="1"/>
  <c r="F56" i="7"/>
  <c r="E56" i="7"/>
  <c r="G56" i="7" s="1"/>
  <c r="D56" i="7"/>
  <c r="C56" i="7"/>
  <c r="B56" i="7"/>
  <c r="H56" i="7" s="1"/>
  <c r="B66" i="7" l="1"/>
  <c r="H66" i="7" s="1"/>
  <c r="F66" i="7"/>
  <c r="D66" i="7"/>
  <c r="E66" i="7"/>
  <c r="G66" i="7" s="1"/>
  <c r="I95" i="7"/>
  <c r="I91" i="7" l="1"/>
  <c r="F104" i="7" l="1"/>
  <c r="E104" i="7"/>
  <c r="D104" i="7"/>
  <c r="C104" i="7"/>
  <c r="B104" i="7"/>
  <c r="H37" i="7" l="1"/>
  <c r="E37" i="7"/>
  <c r="E24" i="7" l="1"/>
  <c r="E28" i="7" s="1"/>
  <c r="C19" i="7" l="1"/>
  <c r="D36" i="9" l="1"/>
  <c r="F36" i="9"/>
  <c r="D26" i="9"/>
  <c r="F26" i="9"/>
  <c r="F95" i="7" l="1"/>
  <c r="F91" i="7"/>
  <c r="E95" i="7" l="1"/>
  <c r="E91" i="7"/>
  <c r="D91" i="7"/>
  <c r="D95" i="7"/>
  <c r="C10" i="7" l="1"/>
  <c r="D40" i="9"/>
  <c r="D30" i="9"/>
  <c r="B20" i="9"/>
  <c r="C20" i="9" s="1"/>
  <c r="E20" i="9" s="1"/>
  <c r="G20" i="9" s="1"/>
  <c r="E6" i="9"/>
  <c r="B8" i="9" s="1"/>
  <c r="B11" i="9" s="1"/>
  <c r="F40" i="9" l="1"/>
  <c r="F11" i="9"/>
  <c r="G11" i="9"/>
  <c r="E85" i="7" l="1"/>
  <c r="B79" i="7" l="1"/>
  <c r="D71" i="7" l="1"/>
  <c r="F75" i="7"/>
  <c r="E48" i="7"/>
  <c r="D48" i="7"/>
  <c r="C48" i="7"/>
  <c r="E43" i="7"/>
  <c r="D43" i="7"/>
  <c r="C43" i="7"/>
  <c r="C16" i="7"/>
  <c r="C6" i="7"/>
  <c r="B14" i="5" l="1"/>
  <c r="B46" i="5"/>
  <c r="B38" i="5"/>
  <c r="B30" i="5"/>
  <c r="B22" i="5"/>
</calcChain>
</file>

<file path=xl/sharedStrings.xml><?xml version="1.0" encoding="utf-8"?>
<sst xmlns="http://schemas.openxmlformats.org/spreadsheetml/2006/main" count="436" uniqueCount="265">
  <si>
    <t>→※単位はｍに換算して入力する。</t>
    <rPh sb="2" eb="4">
      <t>タンイ</t>
    </rPh>
    <rPh sb="7" eb="9">
      <t>カンザン</t>
    </rPh>
    <rPh sb="11" eb="13">
      <t>ニュウリョク</t>
    </rPh>
    <phoneticPr fontId="3"/>
  </si>
  <si>
    <t>面積[m2]</t>
    <rPh sb="0" eb="2">
      <t>メンセキ</t>
    </rPh>
    <phoneticPr fontId="3"/>
  </si>
  <si>
    <t>横送り量 [m]</t>
    <rPh sb="0" eb="1">
      <t>ヨコ</t>
    </rPh>
    <rPh sb="1" eb="2">
      <t>オク</t>
    </rPh>
    <rPh sb="3" eb="4">
      <t>リョウ</t>
    </rPh>
    <phoneticPr fontId="3"/>
  </si>
  <si>
    <t>縦送り量 [m]</t>
    <rPh sb="0" eb="1">
      <t>タテ</t>
    </rPh>
    <rPh sb="1" eb="2">
      <t>オク</t>
    </rPh>
    <rPh sb="3" eb="4">
      <t>リョウ</t>
    </rPh>
    <phoneticPr fontId="3"/>
  </si>
  <si>
    <t>株間 [m]</t>
    <rPh sb="0" eb="2">
      <t>カブマ</t>
    </rPh>
    <phoneticPr fontId="3"/>
  </si>
  <si>
    <t>条間 [m]</t>
    <rPh sb="0" eb="2">
      <t>ジョウマ</t>
    </rPh>
    <phoneticPr fontId="3"/>
  </si>
  <si>
    <t>　　　↓</t>
    <phoneticPr fontId="3"/>
  </si>
  <si>
    <t>育苗箱数</t>
    <rPh sb="0" eb="2">
      <t>イクビョウ</t>
    </rPh>
    <rPh sb="2" eb="3">
      <t>バコ</t>
    </rPh>
    <rPh sb="3" eb="4">
      <t>スウ</t>
    </rPh>
    <phoneticPr fontId="3"/>
  </si>
  <si>
    <t>入力→</t>
    <rPh sb="0" eb="2">
      <t>ニュウリョク</t>
    </rPh>
    <phoneticPr fontId="2"/>
  </si>
  <si>
    <t>↓</t>
    <phoneticPr fontId="2"/>
  </si>
  <si>
    <t>育苗箱方程式から計算される必要な育苗箱数</t>
    <rPh sb="0" eb="2">
      <t>イクビョウ</t>
    </rPh>
    <rPh sb="2" eb="3">
      <t>バコ</t>
    </rPh>
    <rPh sb="3" eb="6">
      <t>ホウテイシキ</t>
    </rPh>
    <rPh sb="8" eb="10">
      <t>ケイサン</t>
    </rPh>
    <rPh sb="13" eb="15">
      <t>ヒツヨウ</t>
    </rPh>
    <rPh sb="16" eb="18">
      <t>イクビョウ</t>
    </rPh>
    <rPh sb="18" eb="19">
      <t>バコ</t>
    </rPh>
    <rPh sb="19" eb="20">
      <t>スウ</t>
    </rPh>
    <phoneticPr fontId="3"/>
  </si>
  <si>
    <t>理論上必要な育苗箱数</t>
    <rPh sb="0" eb="3">
      <t>リロンジョウ</t>
    </rPh>
    <rPh sb="3" eb="5">
      <t>ヒツヨウ</t>
    </rPh>
    <rPh sb="6" eb="8">
      <t>イクビョウ</t>
    </rPh>
    <rPh sb="8" eb="9">
      <t>バコ</t>
    </rPh>
    <rPh sb="9" eb="10">
      <t>スウ</t>
    </rPh>
    <phoneticPr fontId="3"/>
  </si>
  <si>
    <t>１　必要な育苗箱数ｂxを求める</t>
    <rPh sb="2" eb="4">
      <t>ヒツヨウ</t>
    </rPh>
    <rPh sb="5" eb="7">
      <t>イクビョウ</t>
    </rPh>
    <rPh sb="7" eb="8">
      <t>バコ</t>
    </rPh>
    <rPh sb="8" eb="9">
      <t>スウ</t>
    </rPh>
    <rPh sb="12" eb="13">
      <t>モト</t>
    </rPh>
    <phoneticPr fontId="2"/>
  </si>
  <si>
    <t>　　　↓</t>
    <phoneticPr fontId="3"/>
  </si>
  <si>
    <t>↓</t>
    <phoneticPr fontId="3"/>
  </si>
  <si>
    <t>２　理論上必要な株間ｋ[ｃｍ]を求める</t>
    <rPh sb="2" eb="4">
      <t>リロン</t>
    </rPh>
    <rPh sb="4" eb="5">
      <t>ジョウ</t>
    </rPh>
    <rPh sb="5" eb="7">
      <t>ヒツヨウ</t>
    </rPh>
    <rPh sb="8" eb="10">
      <t>カブマ</t>
    </rPh>
    <rPh sb="16" eb="17">
      <t>モト</t>
    </rPh>
    <phoneticPr fontId="2"/>
  </si>
  <si>
    <t>３　理論上必要な縦送り量 ｔ [ｍｍ]を求める</t>
    <rPh sb="2" eb="4">
      <t>リロン</t>
    </rPh>
    <rPh sb="4" eb="5">
      <t>ジョウ</t>
    </rPh>
    <rPh sb="5" eb="7">
      <t>ヒツヨウ</t>
    </rPh>
    <rPh sb="8" eb="9">
      <t>タテ</t>
    </rPh>
    <rPh sb="9" eb="10">
      <t>オク</t>
    </rPh>
    <rPh sb="11" eb="12">
      <t>リョウ</t>
    </rPh>
    <rPh sb="20" eb="21">
      <t>モト</t>
    </rPh>
    <phoneticPr fontId="2"/>
  </si>
  <si>
    <t>５　理論上必要な横送り量　ｙ [ｍｍ]を求める</t>
    <rPh sb="2" eb="4">
      <t>リロン</t>
    </rPh>
    <rPh sb="4" eb="5">
      <t>ジョウ</t>
    </rPh>
    <rPh sb="5" eb="7">
      <t>ヒツヨウ</t>
    </rPh>
    <rPh sb="8" eb="9">
      <t>ヨコ</t>
    </rPh>
    <rPh sb="9" eb="10">
      <t>オク</t>
    </rPh>
    <rPh sb="11" eb="12">
      <t>リョウ</t>
    </rPh>
    <rPh sb="20" eb="21">
      <t>モト</t>
    </rPh>
    <phoneticPr fontId="2"/>
  </si>
  <si>
    <t>４　理論上の植え付け可能な面積　Ｓ　[ｍ2]を求める</t>
    <rPh sb="2" eb="4">
      <t>リロン</t>
    </rPh>
    <rPh sb="4" eb="5">
      <t>ジョウ</t>
    </rPh>
    <rPh sb="6" eb="7">
      <t>ウ</t>
    </rPh>
    <rPh sb="8" eb="9">
      <t>ツ</t>
    </rPh>
    <rPh sb="10" eb="12">
      <t>カノウ</t>
    </rPh>
    <rPh sb="13" eb="15">
      <t>メンセキ</t>
    </rPh>
    <rPh sb="23" eb="24">
      <t>モト</t>
    </rPh>
    <phoneticPr fontId="2"/>
  </si>
  <si>
    <t>株間（cm）</t>
    <rPh sb="0" eb="2">
      <t>カブマ</t>
    </rPh>
    <phoneticPr fontId="2"/>
  </si>
  <si>
    <t>↑入力する</t>
    <rPh sb="1" eb="3">
      <t>ニュウリョク</t>
    </rPh>
    <phoneticPr fontId="2"/>
  </si>
  <si>
    <t>（付録２）</t>
    <rPh sb="1" eb="3">
      <t>フロク</t>
    </rPh>
    <phoneticPr fontId="2"/>
  </si>
  <si>
    <t>横送り回数</t>
    <rPh sb="0" eb="1">
      <t>ヨコ</t>
    </rPh>
    <rPh sb="1" eb="2">
      <t>オク</t>
    </rPh>
    <rPh sb="3" eb="5">
      <t>カイスウ</t>
    </rPh>
    <phoneticPr fontId="2"/>
  </si>
  <si>
    <t>横送り(mm)</t>
    <rPh sb="0" eb="1">
      <t>ヨコ</t>
    </rPh>
    <rPh sb="1" eb="2">
      <t>オク</t>
    </rPh>
    <rPh sb="3" eb="6">
      <t>カブ</t>
    </rPh>
    <phoneticPr fontId="2"/>
  </si>
  <si>
    <t>（付録３）</t>
    <rPh sb="1" eb="3">
      <t>フロク</t>
    </rPh>
    <phoneticPr fontId="2"/>
  </si>
  <si>
    <t>町</t>
    <rPh sb="0" eb="1">
      <t>チョウ</t>
    </rPh>
    <phoneticPr fontId="2"/>
  </si>
  <si>
    <t>反</t>
    <rPh sb="0" eb="1">
      <t>タン</t>
    </rPh>
    <phoneticPr fontId="2"/>
  </si>
  <si>
    <t>計算条件： １反＝991.7m2、１町＝9917m2</t>
    <rPh sb="0" eb="2">
      <t>ケイサン</t>
    </rPh>
    <rPh sb="2" eb="4">
      <t>ジョウケン</t>
    </rPh>
    <rPh sb="4" eb="5">
      <t>テイチ</t>
    </rPh>
    <rPh sb="7" eb="8">
      <t>タン</t>
    </rPh>
    <rPh sb="18" eb="19">
      <t>チョウ</t>
    </rPh>
    <phoneticPr fontId="2"/>
  </si>
  <si>
    <t>（付録４）</t>
    <rPh sb="1" eb="3">
      <t>フロク</t>
    </rPh>
    <phoneticPr fontId="2"/>
  </si>
  <si>
    <t>ａ</t>
    <phoneticPr fontId="2"/>
  </si>
  <si>
    <t>ｈａ</t>
    <phoneticPr fontId="2"/>
  </si>
  <si>
    <t>（付録５）</t>
    <rPh sb="1" eb="3">
      <t>フロク</t>
    </rPh>
    <phoneticPr fontId="2"/>
  </si>
  <si>
    <t>１箱あたりｇ</t>
    <rPh sb="1" eb="2">
      <t>ハコ</t>
    </rPh>
    <phoneticPr fontId="2"/>
  </si>
  <si>
    <t>できる箱数</t>
    <rPh sb="3" eb="4">
      <t>ハコ</t>
    </rPh>
    <rPh sb="4" eb="5">
      <t>スウ</t>
    </rPh>
    <phoneticPr fontId="2"/>
  </si>
  <si>
    <t>種籾(４ｋｇ)</t>
    <rPh sb="0" eb="2">
      <t>タネモミ</t>
    </rPh>
    <phoneticPr fontId="2"/>
  </si>
  <si>
    <t>浸種促芽後kg</t>
    <rPh sb="0" eb="1">
      <t>ヒタ</t>
    </rPh>
    <rPh sb="1" eb="2">
      <t>タネ</t>
    </rPh>
    <rPh sb="2" eb="3">
      <t>ソク</t>
    </rPh>
    <rPh sb="3" eb="4">
      <t>メ</t>
    </rPh>
    <rPh sb="4" eb="5">
      <t>ゴ</t>
    </rPh>
    <phoneticPr fontId="2"/>
  </si>
  <si>
    <t>面積ｍ2を入力すると、ａ（ｱｰﾙ）、反、町に変換</t>
    <rPh sb="0" eb="2">
      <t>メンセキ</t>
    </rPh>
    <rPh sb="5" eb="7">
      <t>ニュウリョク</t>
    </rPh>
    <rPh sb="18" eb="19">
      <t>ハン</t>
    </rPh>
    <rPh sb="20" eb="21">
      <t>チョウ</t>
    </rPh>
    <rPh sb="22" eb="24">
      <t>ヘンカン</t>
    </rPh>
    <phoneticPr fontId="2"/>
  </si>
  <si>
    <t>☆育苗箱数を計算するしくみ（「育苗箱方程式」）については同梱の資料をご覧下さい。</t>
    <rPh sb="1" eb="4">
      <t>イクビョウバコ</t>
    </rPh>
    <rPh sb="4" eb="5">
      <t>スウ</t>
    </rPh>
    <rPh sb="6" eb="8">
      <t>ケイサン</t>
    </rPh>
    <rPh sb="15" eb="18">
      <t>イクビョウバコ</t>
    </rPh>
    <rPh sb="18" eb="21">
      <t>ホウテイシキ</t>
    </rPh>
    <rPh sb="28" eb="30">
      <t>ドウコン</t>
    </rPh>
    <rPh sb="31" eb="33">
      <t>シリョウ</t>
    </rPh>
    <rPh sb="35" eb="36">
      <t>ラン</t>
    </rPh>
    <rPh sb="36" eb="37">
      <t>クダ</t>
    </rPh>
    <phoneticPr fontId="2"/>
  </si>
  <si>
    <t>（付録６）</t>
    <rPh sb="1" eb="3">
      <t>フロク</t>
    </rPh>
    <phoneticPr fontId="2"/>
  </si>
  <si>
    <t>全収量(kg)</t>
    <rPh sb="0" eb="3">
      <t>ゼンシュウリョウ</t>
    </rPh>
    <phoneticPr fontId="2"/>
  </si>
  <si>
    <t>kg</t>
    <phoneticPr fontId="2"/>
  </si>
  <si>
    <t>ｍ2当たり</t>
    <rPh sb="2" eb="3">
      <t>ア</t>
    </rPh>
    <phoneticPr fontId="2"/>
  </si>
  <si>
    <t>10ａ当たり</t>
    <rPh sb="3" eb="4">
      <t>ア</t>
    </rPh>
    <phoneticPr fontId="2"/>
  </si>
  <si>
    <t>ａ当たり</t>
    <rPh sb="1" eb="2">
      <t>ア</t>
    </rPh>
    <phoneticPr fontId="2"/>
  </si>
  <si>
    <t>坪当たり</t>
    <rPh sb="0" eb="1">
      <t>ツボ</t>
    </rPh>
    <rPh sb="1" eb="2">
      <t>ア</t>
    </rPh>
    <phoneticPr fontId="2"/>
  </si>
  <si>
    <t>単位：</t>
    <rPh sb="0" eb="2">
      <t>タンイ</t>
    </rPh>
    <phoneticPr fontId="2"/>
  </si>
  <si>
    <t>袋数</t>
    <rPh sb="0" eb="1">
      <t>フクロ</t>
    </rPh>
    <rPh sb="1" eb="2">
      <t>スウ</t>
    </rPh>
    <phoneticPr fontId="2"/>
  </si>
  <si>
    <t>（付録７）</t>
    <rPh sb="1" eb="3">
      <t>フロク</t>
    </rPh>
    <phoneticPr fontId="2"/>
  </si>
  <si>
    <t>（付録８）</t>
    <rPh sb="1" eb="3">
      <t>フロク</t>
    </rPh>
    <phoneticPr fontId="2"/>
  </si>
  <si>
    <t>1箱分kg</t>
    <rPh sb="1" eb="2">
      <t>ハコ</t>
    </rPh>
    <rPh sb="2" eb="3">
      <t>ブン</t>
    </rPh>
    <phoneticPr fontId="2"/>
  </si>
  <si>
    <t>入る箱数</t>
    <rPh sb="0" eb="1">
      <t>ハイ</t>
    </rPh>
    <rPh sb="2" eb="3">
      <t>ハコ</t>
    </rPh>
    <rPh sb="3" eb="4">
      <t>スウ</t>
    </rPh>
    <phoneticPr fontId="2"/>
  </si>
  <si>
    <t>倍率</t>
    <rPh sb="0" eb="2">
      <t>バイリツ</t>
    </rPh>
    <phoneticPr fontId="3"/>
  </si>
  <si>
    <t>→</t>
    <phoneticPr fontId="3"/>
  </si>
  <si>
    <t>（付録９）</t>
    <rPh sb="1" eb="3">
      <t>フロク</t>
    </rPh>
    <phoneticPr fontId="2"/>
  </si>
  <si>
    <t>袋数（収量）</t>
    <phoneticPr fontId="2"/>
  </si>
  <si>
    <t>作付面積m2</t>
    <rPh sb="0" eb="2">
      <t>サクツ</t>
    </rPh>
    <rPh sb="2" eb="4">
      <t>メンセキ</t>
    </rPh>
    <phoneticPr fontId="2"/>
  </si>
  <si>
    <t>ｍ2</t>
    <phoneticPr fontId="3"/>
  </si>
  <si>
    <t>植付面積ｍ2
（理論値）</t>
    <rPh sb="0" eb="1">
      <t>ウ</t>
    </rPh>
    <rPh sb="1" eb="2">
      <t>ツ</t>
    </rPh>
    <rPh sb="2" eb="4">
      <t>メンセキ</t>
    </rPh>
    <rPh sb="8" eb="11">
      <t>リロンチ</t>
    </rPh>
    <phoneticPr fontId="3"/>
  </si>
  <si>
    <t>坪株数</t>
    <rPh sb="0" eb="1">
      <t>ツボ</t>
    </rPh>
    <rPh sb="1" eb="3">
      <t>カブスウ</t>
    </rPh>
    <phoneticPr fontId="2"/>
  </si>
  <si>
    <t>反当たり</t>
    <rPh sb="0" eb="1">
      <t>タン</t>
    </rPh>
    <rPh sb="1" eb="2">
      <t>ア</t>
    </rPh>
    <phoneticPr fontId="2"/>
  </si>
  <si>
    <t>kg</t>
  </si>
  <si>
    <t>（付録10）</t>
    <rPh sb="1" eb="3">
      <t>フロク</t>
    </rPh>
    <phoneticPr fontId="2"/>
  </si>
  <si>
    <t>米袋１袋分</t>
    <rPh sb="0" eb="1">
      <t>コメ</t>
    </rPh>
    <rPh sb="1" eb="2">
      <t>フクロ</t>
    </rPh>
    <rPh sb="3" eb="4">
      <t>フクロ</t>
    </rPh>
    <rPh sb="4" eb="5">
      <t>ブン</t>
    </rPh>
    <phoneticPr fontId="2"/>
  </si>
  <si>
    <t>俵／10ａ</t>
    <rPh sb="0" eb="1">
      <t>ヒョウ</t>
    </rPh>
    <phoneticPr fontId="2"/>
  </si>
  <si>
    <t>俵／反</t>
    <rPh sb="0" eb="1">
      <t>ヒョウ</t>
    </rPh>
    <rPh sb="2" eb="3">
      <t>タン</t>
    </rPh>
    <phoneticPr fontId="2"/>
  </si>
  <si>
    <t>俵</t>
    <rPh sb="0" eb="1">
      <t>ヒョウ</t>
    </rPh>
    <phoneticPr fontId="2"/>
  </si>
  <si>
    <t>浸種催芽後の種籾量(kg)から、できる育苗箱数を計算。さらに育苗箱方程式を介して植付面積を推定</t>
    <rPh sb="0" eb="1">
      <t>ヒタ</t>
    </rPh>
    <rPh sb="1" eb="2">
      <t>タネ</t>
    </rPh>
    <rPh sb="4" eb="5">
      <t>ゴ</t>
    </rPh>
    <rPh sb="6" eb="8">
      <t>タネモミ</t>
    </rPh>
    <rPh sb="8" eb="9">
      <t>リョウ</t>
    </rPh>
    <rPh sb="19" eb="22">
      <t>イクビョウバコ</t>
    </rPh>
    <rPh sb="22" eb="23">
      <t>スウ</t>
    </rPh>
    <rPh sb="24" eb="26">
      <t>ケイサン</t>
    </rPh>
    <rPh sb="30" eb="33">
      <t>イクビョウバコ</t>
    </rPh>
    <rPh sb="33" eb="36">
      <t>ホウテイシキ</t>
    </rPh>
    <rPh sb="37" eb="38">
      <t>カイ</t>
    </rPh>
    <rPh sb="40" eb="41">
      <t>ウ</t>
    </rPh>
    <rPh sb="41" eb="42">
      <t>ツ</t>
    </rPh>
    <rPh sb="42" eb="44">
      <t>メンセキ</t>
    </rPh>
    <rPh sb="45" eb="47">
      <t>スイテイ</t>
    </rPh>
    <phoneticPr fontId="2"/>
  </si>
  <si>
    <t>必要な催芽前種籾kg(推定)</t>
    <rPh sb="0" eb="2">
      <t>ヒツヨウ</t>
    </rPh>
    <rPh sb="3" eb="5">
      <t>サイガ</t>
    </rPh>
    <rPh sb="5" eb="6">
      <t>マエ</t>
    </rPh>
    <rPh sb="6" eb="8">
      <t>タネモミ</t>
    </rPh>
    <rPh sb="11" eb="13">
      <t>スイテイ</t>
    </rPh>
    <phoneticPr fontId="3"/>
  </si>
  <si>
    <t>必要な育苗箱数(推定)</t>
    <rPh sb="0" eb="2">
      <t>ヒツヨウ</t>
    </rPh>
    <rPh sb="3" eb="5">
      <t>イクビョウ</t>
    </rPh>
    <rPh sb="5" eb="6">
      <t>バコ</t>
    </rPh>
    <rPh sb="6" eb="7">
      <t>スウ</t>
    </rPh>
    <rPh sb="8" eb="10">
      <t>スイテイ</t>
    </rPh>
    <phoneticPr fontId="3"/>
  </si>
  <si>
    <t>（付録11）</t>
    <rPh sb="1" eb="3">
      <t>フロク</t>
    </rPh>
    <phoneticPr fontId="2"/>
  </si>
  <si>
    <t>箱数</t>
    <rPh sb="0" eb="1">
      <t>ハコ</t>
    </rPh>
    <rPh sb="1" eb="2">
      <t>スウ</t>
    </rPh>
    <phoneticPr fontId="2"/>
  </si>
  <si>
    <t>種籾量kｇ</t>
    <rPh sb="0" eb="2">
      <t>タネモミ</t>
    </rPh>
    <rPh sb="2" eb="3">
      <t>リョウ</t>
    </rPh>
    <phoneticPr fontId="2"/>
  </si>
  <si>
    <t>できた箱数</t>
    <rPh sb="3" eb="4">
      <t>バコ</t>
    </rPh>
    <rPh sb="4" eb="5">
      <t>スウ</t>
    </rPh>
    <phoneticPr fontId="3"/>
  </si>
  <si>
    <t>必要な箱数</t>
    <rPh sb="0" eb="2">
      <t>ヒツヨウ</t>
    </rPh>
    <rPh sb="3" eb="4">
      <t>ハコ</t>
    </rPh>
    <rPh sb="4" eb="5">
      <t>スウ</t>
    </rPh>
    <phoneticPr fontId="2"/>
  </si>
  <si>
    <t>必要な袋数</t>
    <rPh sb="0" eb="2">
      <t>ヒツヨウ</t>
    </rPh>
    <rPh sb="3" eb="4">
      <t>フクロ</t>
    </rPh>
    <rPh sb="4" eb="5">
      <t>スウ</t>
    </rPh>
    <phoneticPr fontId="2"/>
  </si>
  <si>
    <t>ａ</t>
    <phoneticPr fontId="3"/>
  </si>
  <si>
    <t>必要な種籾kg(推定)</t>
    <rPh sb="0" eb="2">
      <t>ヒツヨウ</t>
    </rPh>
    <rPh sb="3" eb="5">
      <t>タネモミ</t>
    </rPh>
    <rPh sb="8" eb="10">
      <t>スイテイ</t>
    </rPh>
    <phoneticPr fontId="3"/>
  </si>
  <si>
    <t>植付面積m2
（推定）</t>
    <rPh sb="0" eb="1">
      <t>ウ</t>
    </rPh>
    <rPh sb="1" eb="2">
      <t>ツ</t>
    </rPh>
    <rPh sb="2" eb="4">
      <t>メンセキ</t>
    </rPh>
    <rPh sb="8" eb="10">
      <t>スイテイ</t>
    </rPh>
    <phoneticPr fontId="3"/>
  </si>
  <si>
    <t>植付面積ａ
（推定）</t>
    <rPh sb="0" eb="1">
      <t>ウ</t>
    </rPh>
    <rPh sb="1" eb="2">
      <t>ツ</t>
    </rPh>
    <rPh sb="2" eb="4">
      <t>メンセキ</t>
    </rPh>
    <rPh sb="7" eb="9">
      <t>スイテイ</t>
    </rPh>
    <phoneticPr fontId="3"/>
  </si>
  <si>
    <t>←入力する（５カ所）</t>
    <rPh sb="1" eb="3">
      <t>ニュウリョク</t>
    </rPh>
    <phoneticPr fontId="3"/>
  </si>
  <si>
    <t>←入力する（中２カ所）</t>
    <rPh sb="1" eb="3">
      <t>ニュウリョク</t>
    </rPh>
    <rPh sb="6" eb="7">
      <t>ナカ</t>
    </rPh>
    <phoneticPr fontId="3"/>
  </si>
  <si>
    <t>必要な袋数</t>
    <rPh sb="0" eb="2">
      <t>ヒツヨウ</t>
    </rPh>
    <rPh sb="3" eb="4">
      <t>フクロ</t>
    </rPh>
    <rPh sb="4" eb="5">
      <t>スウ</t>
    </rPh>
    <phoneticPr fontId="3"/>
  </si>
  <si>
    <t>※土は下に入れる土と、播種後上にかける土の２種類が必要です</t>
    <rPh sb="1" eb="2">
      <t>ド</t>
    </rPh>
    <rPh sb="3" eb="4">
      <t>シタ</t>
    </rPh>
    <rPh sb="5" eb="6">
      <t>イ</t>
    </rPh>
    <rPh sb="8" eb="9">
      <t>ツチ</t>
    </rPh>
    <rPh sb="11" eb="13">
      <t>ハシュ</t>
    </rPh>
    <rPh sb="13" eb="14">
      <t>ゴ</t>
    </rPh>
    <rPh sb="14" eb="15">
      <t>ウエ</t>
    </rPh>
    <rPh sb="19" eb="20">
      <t>ツチ</t>
    </rPh>
    <rPh sb="22" eb="24">
      <t>シュルイ</t>
    </rPh>
    <rPh sb="25" eb="27">
      <t>ヒツヨウ</t>
    </rPh>
    <phoneticPr fontId="2"/>
  </si>
  <si>
    <t>kg</t>
    <phoneticPr fontId="3"/>
  </si>
  <si>
    <t>培土1袋ｋｇ</t>
    <rPh sb="0" eb="1">
      <t>バイ</t>
    </rPh>
    <rPh sb="1" eb="2">
      <t>ド</t>
    </rPh>
    <rPh sb="3" eb="4">
      <t>フクロ</t>
    </rPh>
    <phoneticPr fontId="2"/>
  </si>
  <si>
    <t>培土１袋ｋｇ</t>
    <rPh sb="0" eb="1">
      <t>バイ</t>
    </rPh>
    <rPh sb="1" eb="2">
      <t>ド</t>
    </rPh>
    <rPh sb="3" eb="4">
      <t>フクロ</t>
    </rPh>
    <phoneticPr fontId="2"/>
  </si>
  <si>
    <t>育苗箱１箱あたり蒔く種籾ｇ</t>
    <rPh sb="0" eb="3">
      <t>イクビョウバコ</t>
    </rPh>
    <rPh sb="4" eb="5">
      <t>ハコ</t>
    </rPh>
    <rPh sb="8" eb="9">
      <t>マ</t>
    </rPh>
    <rPh sb="10" eb="12">
      <t>タネモミ</t>
    </rPh>
    <phoneticPr fontId="3"/>
  </si>
  <si>
    <t>※１俵は60kg：１人が１年間に食べる米の量</t>
    <rPh sb="2" eb="3">
      <t>ヒョウ</t>
    </rPh>
    <rPh sb="10" eb="11">
      <t>ヒト</t>
    </rPh>
    <rPh sb="13" eb="15">
      <t>ネンカン</t>
    </rPh>
    <rPh sb="16" eb="17">
      <t>タ</t>
    </rPh>
    <rPh sb="19" eb="20">
      <t>コメ</t>
    </rPh>
    <rPh sb="21" eb="22">
      <t>リョウ</t>
    </rPh>
    <phoneticPr fontId="2"/>
  </si>
  <si>
    <t>（単位面積当たり収量）</t>
    <rPh sb="1" eb="3">
      <t>タンイ</t>
    </rPh>
    <rPh sb="3" eb="5">
      <t>メンセキ</t>
    </rPh>
    <rPh sb="5" eb="6">
      <t>ア</t>
    </rPh>
    <rPh sb="8" eb="10">
      <t>シュウリョウ</t>
    </rPh>
    <phoneticPr fontId="2"/>
  </si>
  <si>
    <t>（単位面積当たりの収量）</t>
    <rPh sb="1" eb="3">
      <t>タンイ</t>
    </rPh>
    <rPh sb="3" eb="5">
      <t>メンセキ</t>
    </rPh>
    <rPh sb="5" eb="6">
      <t>ア</t>
    </rPh>
    <rPh sb="9" eb="11">
      <t>シュウリョウ</t>
    </rPh>
    <phoneticPr fontId="2"/>
  </si>
  <si>
    <t>QRコード→</t>
    <phoneticPr fontId="2"/>
  </si>
  <si>
    <t>（付録１）</t>
    <rPh sb="1" eb="3">
      <t>フロク</t>
    </rPh>
    <phoneticPr fontId="2"/>
  </si>
  <si>
    <t>（付録12）</t>
    <rPh sb="1" eb="3">
      <t>フロク</t>
    </rPh>
    <phoneticPr fontId="2"/>
  </si>
  <si>
    <t>kg</t>
    <phoneticPr fontId="2"/>
  </si>
  <si>
    <t>用意する袋数</t>
    <rPh sb="0" eb="2">
      <t>ヨウイ</t>
    </rPh>
    <rPh sb="4" eb="5">
      <t>フクロ</t>
    </rPh>
    <rPh sb="5" eb="6">
      <t>スウ</t>
    </rPh>
    <phoneticPr fontId="2"/>
  </si>
  <si>
    <t>１袋</t>
    <rPh sb="1" eb="2">
      <t>フクロ</t>
    </rPh>
    <phoneticPr fontId="2"/>
  </si>
  <si>
    <t>↓</t>
  </si>
  <si>
    <t>育苗箱数</t>
    <rPh sb="0" eb="2">
      <t>イクビョウ</t>
    </rPh>
    <rPh sb="2" eb="3">
      <t>ハコ</t>
    </rPh>
    <rPh sb="3" eb="4">
      <t>スウ</t>
    </rPh>
    <phoneticPr fontId="2"/>
  </si>
  <si>
    <t>↑入力</t>
    <rPh sb="1" eb="3">
      <t>ニュウリョク</t>
    </rPh>
    <phoneticPr fontId="2"/>
  </si>
  <si>
    <t>１箱散布量ｇ</t>
    <rPh sb="1" eb="2">
      <t>ハコ</t>
    </rPh>
    <rPh sb="2" eb="4">
      <t>サンプ</t>
    </rPh>
    <rPh sb="4" eb="5">
      <t>リョウ</t>
    </rPh>
    <phoneticPr fontId="2"/>
  </si>
  <si>
    <t>育苗箱殺虫剤の袋数と１箱何ｇ散布するか入力して、散布できる育苗箱数を計算</t>
    <rPh sb="0" eb="2">
      <t>イクビョウ</t>
    </rPh>
    <rPh sb="2" eb="3">
      <t>ハコ</t>
    </rPh>
    <rPh sb="3" eb="6">
      <t>サッチュウザイ</t>
    </rPh>
    <rPh sb="7" eb="8">
      <t>フクロ</t>
    </rPh>
    <rPh sb="8" eb="9">
      <t>スウ</t>
    </rPh>
    <rPh sb="11" eb="12">
      <t>ハコ</t>
    </rPh>
    <rPh sb="12" eb="13">
      <t>ナン</t>
    </rPh>
    <rPh sb="14" eb="16">
      <t>サンプ</t>
    </rPh>
    <rPh sb="19" eb="21">
      <t>ニュウリョク</t>
    </rPh>
    <rPh sb="24" eb="26">
      <t>サンプ</t>
    </rPh>
    <rPh sb="29" eb="31">
      <t>イクビョウ</t>
    </rPh>
    <rPh sb="31" eb="33">
      <t>ハコスウ</t>
    </rPh>
    <rPh sb="34" eb="36">
      <t>ケイサン</t>
    </rPh>
    <phoneticPr fontId="2"/>
  </si>
  <si>
    <t>坪株数から株間ｃｍに換算</t>
    <rPh sb="0" eb="1">
      <t>ツボ</t>
    </rPh>
    <rPh sb="1" eb="3">
      <t>カブスウ</t>
    </rPh>
    <rPh sb="5" eb="7">
      <t>カブマ</t>
    </rPh>
    <rPh sb="10" eb="12">
      <t>カンザン</t>
    </rPh>
    <phoneticPr fontId="2"/>
  </si>
  <si>
    <t>使用箱数</t>
    <rPh sb="0" eb="2">
      <t>シヨウ</t>
    </rPh>
    <rPh sb="2" eb="3">
      <t>ハコ</t>
    </rPh>
    <rPh sb="3" eb="4">
      <t>スウ</t>
    </rPh>
    <phoneticPr fontId="2"/>
  </si>
  <si>
    <t>　尺貫法入力版（Web版）</t>
    <rPh sb="1" eb="4">
      <t>シャッカンホウ</t>
    </rPh>
    <rPh sb="4" eb="6">
      <t>ニュウリョク</t>
    </rPh>
    <rPh sb="6" eb="7">
      <t>バン</t>
    </rPh>
    <rPh sb="11" eb="12">
      <t>バン</t>
    </rPh>
    <phoneticPr fontId="2"/>
  </si>
  <si>
    <t>g</t>
    <phoneticPr fontId="2"/>
  </si>
  <si>
    <t>→</t>
    <phoneticPr fontId="2"/>
  </si>
  <si>
    <t>横送り[m]</t>
    <rPh sb="0" eb="1">
      <t>ヨコ</t>
    </rPh>
    <rPh sb="1" eb="2">
      <t>オク</t>
    </rPh>
    <phoneticPr fontId="2"/>
  </si>
  <si>
    <t>縦送り[m]</t>
    <rPh sb="0" eb="1">
      <t>タテ</t>
    </rPh>
    <rPh sb="1" eb="2">
      <t>オク</t>
    </rPh>
    <phoneticPr fontId="2"/>
  </si>
  <si>
    <t>※１袋が１ｋｇでない場合は、最初のセルの値を変更して下さい</t>
    <rPh sb="2" eb="3">
      <t>フクロ</t>
    </rPh>
    <rPh sb="10" eb="12">
      <t>バアイ</t>
    </rPh>
    <rPh sb="14" eb="16">
      <t>サイショ</t>
    </rPh>
    <rPh sb="20" eb="21">
      <t>アタイ</t>
    </rPh>
    <rPh sb="22" eb="24">
      <t>ヘンコウ</t>
    </rPh>
    <rPh sb="26" eb="27">
      <t>クダ</t>
    </rPh>
    <phoneticPr fontId="2"/>
  </si>
  <si>
    <t>　Web版は、JavaScriptを使用し、ブラウザ内で計算するため処理が速いです。使用してみて下さい。</t>
    <rPh sb="18" eb="20">
      <t>シヨウ</t>
    </rPh>
    <rPh sb="26" eb="27">
      <t>ナイ</t>
    </rPh>
    <rPh sb="28" eb="30">
      <t>ケイサン</t>
    </rPh>
    <rPh sb="34" eb="36">
      <t>ショリ</t>
    </rPh>
    <rPh sb="37" eb="38">
      <t>ハヤ</t>
    </rPh>
    <phoneticPr fontId="2"/>
  </si>
  <si>
    <t>箱</t>
    <rPh sb="0" eb="1">
      <t>ハコ</t>
    </rPh>
    <phoneticPr fontId="2"/>
  </si>
  <si>
    <t>株間ｃｍを入力すると、坪あたり何株になるか、あるいはその逆を計算</t>
    <rPh sb="0" eb="2">
      <t>カブマ</t>
    </rPh>
    <rPh sb="5" eb="7">
      <t>ニュウリョク</t>
    </rPh>
    <rPh sb="11" eb="12">
      <t>ツボ</t>
    </rPh>
    <rPh sb="15" eb="16">
      <t>ナニ</t>
    </rPh>
    <rPh sb="16" eb="17">
      <t>カブ</t>
    </rPh>
    <phoneticPr fontId="2"/>
  </si>
  <si>
    <t>（お知らせ）スマホやタブレットからも使えるWeb版のTa-box、尺貫法入力版へのリンク</t>
    <rPh sb="2" eb="3">
      <t>シ</t>
    </rPh>
    <rPh sb="18" eb="19">
      <t>ツカ</t>
    </rPh>
    <rPh sb="33" eb="36">
      <t>シャッカンホウ</t>
    </rPh>
    <rPh sb="36" eb="38">
      <t>ニュウリョク</t>
    </rPh>
    <rPh sb="38" eb="39">
      <t>バン</t>
    </rPh>
    <phoneticPr fontId="2"/>
  </si>
  <si>
    <t>（付録13）</t>
    <rPh sb="1" eb="3">
      <t>フロク</t>
    </rPh>
    <phoneticPr fontId="2"/>
  </si>
  <si>
    <t>→</t>
  </si>
  <si>
    <t>１０ａ当</t>
    <rPh sb="3" eb="4">
      <t>アタリ</t>
    </rPh>
    <phoneticPr fontId="2"/>
  </si>
  <si>
    <t>１ｍ2当</t>
    <rPh sb="3" eb="4">
      <t>アタリ</t>
    </rPh>
    <phoneticPr fontId="2"/>
  </si>
  <si>
    <t>１坪当</t>
    <rPh sb="1" eb="2">
      <t>ツボ</t>
    </rPh>
    <rPh sb="2" eb="3">
      <t>アタリ</t>
    </rPh>
    <phoneticPr fontId="2"/>
  </si>
  <si>
    <t>kg</t>
    <phoneticPr fontId="2"/>
  </si>
  <si>
    <t>g</t>
  </si>
  <si>
    <t>１坪当</t>
    <rPh sb="1" eb="2">
      <t>ツボ</t>
    </rPh>
    <rPh sb="2" eb="3">
      <t>ア</t>
    </rPh>
    <phoneticPr fontId="2"/>
  </si>
  <si>
    <t>kg</t>
    <phoneticPr fontId="2"/>
  </si>
  <si>
    <t>１畝当</t>
    <rPh sb="1" eb="2">
      <t>セ</t>
    </rPh>
    <rPh sb="2" eb="3">
      <t>ア</t>
    </rPh>
    <phoneticPr fontId="2"/>
  </si>
  <si>
    <t>※計算条件： １ 坪＝ 3600/1089 ｍ2、１畝＝99.17m2</t>
    <rPh sb="1" eb="3">
      <t>ケイサン</t>
    </rPh>
    <rPh sb="3" eb="5">
      <t>ジョウケン</t>
    </rPh>
    <rPh sb="5" eb="6">
      <t>テイチ</t>
    </rPh>
    <rPh sb="9" eb="10">
      <t>ツボ</t>
    </rPh>
    <rPh sb="26" eb="27">
      <t>セ</t>
    </rPh>
    <phoneticPr fontId="2"/>
  </si>
  <si>
    <t>１畝当</t>
    <rPh sb="1" eb="2">
      <t>セ</t>
    </rPh>
    <rPh sb="2" eb="3">
      <t>アタリ</t>
    </rPh>
    <phoneticPr fontId="2"/>
  </si>
  <si>
    <t>培土１袋20kgのとき、播種後にかける土が１箱何kgなら何箱かけられるか。また、このとき、培土の袋数を入力して入れられる育苗箱数を計算</t>
    <rPh sb="0" eb="1">
      <t>バイ</t>
    </rPh>
    <rPh sb="1" eb="2">
      <t>ド</t>
    </rPh>
    <rPh sb="3" eb="4">
      <t>フクロ</t>
    </rPh>
    <rPh sb="12" eb="14">
      <t>ハシュ</t>
    </rPh>
    <rPh sb="14" eb="15">
      <t>ゴ</t>
    </rPh>
    <rPh sb="19" eb="20">
      <t>ツチ</t>
    </rPh>
    <rPh sb="22" eb="23">
      <t>ハコ</t>
    </rPh>
    <rPh sb="23" eb="24">
      <t>ナン</t>
    </rPh>
    <rPh sb="28" eb="30">
      <t>ナンハコ</t>
    </rPh>
    <rPh sb="55" eb="56">
      <t>イ</t>
    </rPh>
    <phoneticPr fontId="2"/>
  </si>
  <si>
    <t>←入力する（６カ所）</t>
    <rPh sb="1" eb="3">
      <t>ニュウリョク</t>
    </rPh>
    <phoneticPr fontId="3"/>
  </si>
  <si>
    <t>1箱種籾 [kg]</t>
    <rPh sb="1" eb="2">
      <t>ハコ</t>
    </rPh>
    <rPh sb="2" eb="4">
      <t>タネモミ</t>
    </rPh>
    <phoneticPr fontId="3"/>
  </si>
  <si>
    <t>必要な催芽後種籾kg（推定）</t>
    <rPh sb="0" eb="2">
      <t>ヒツヨウ</t>
    </rPh>
    <rPh sb="3" eb="5">
      <t>サイガ</t>
    </rPh>
    <rPh sb="5" eb="6">
      <t>ゴ</t>
    </rPh>
    <rPh sb="6" eb="8">
      <t>タネモミ</t>
    </rPh>
    <rPh sb="11" eb="13">
      <t>スイテイ</t>
    </rPh>
    <phoneticPr fontId="3"/>
  </si>
  <si>
    <t>箱数と１箱分の量から必要な培土の袋数を求める</t>
    <rPh sb="0" eb="1">
      <t>ハコ</t>
    </rPh>
    <rPh sb="1" eb="2">
      <t>スウ</t>
    </rPh>
    <rPh sb="4" eb="6">
      <t>ハコブン</t>
    </rPh>
    <rPh sb="7" eb="8">
      <t>リョウ</t>
    </rPh>
    <rPh sb="10" eb="12">
      <t>ヒツヨウ</t>
    </rPh>
    <rPh sb="13" eb="14">
      <t>バイ</t>
    </rPh>
    <rPh sb="14" eb="15">
      <t>ツチ</t>
    </rPh>
    <rPh sb="16" eb="17">
      <t>フクロ</t>
    </rPh>
    <rPh sb="17" eb="18">
      <t>スウ</t>
    </rPh>
    <rPh sb="19" eb="20">
      <t>モト</t>
    </rPh>
    <phoneticPr fontId="3"/>
  </si>
  <si>
    <t>kg</t>
    <phoneticPr fontId="2"/>
  </si>
  <si>
    <t>株間[m]</t>
    <rPh sb="0" eb="2">
      <t>カブマ</t>
    </rPh>
    <phoneticPr fontId="2"/>
  </si>
  <si>
    <t>（上記収量のとき、使用した育苗箱数を入力して１箱当たりの収量を求める）</t>
    <rPh sb="1" eb="3">
      <t>ジョウキ</t>
    </rPh>
    <rPh sb="3" eb="5">
      <t>シュウリョウ</t>
    </rPh>
    <rPh sb="9" eb="11">
      <t>シヨウ</t>
    </rPh>
    <rPh sb="13" eb="15">
      <t>イクビョウ</t>
    </rPh>
    <rPh sb="15" eb="16">
      <t>バコ</t>
    </rPh>
    <rPh sb="16" eb="17">
      <t>スウ</t>
    </rPh>
    <rPh sb="18" eb="20">
      <t>ニュウリョク</t>
    </rPh>
    <rPh sb="23" eb="24">
      <t>ハコ</t>
    </rPh>
    <rPh sb="24" eb="25">
      <t>アタリ</t>
    </rPh>
    <rPh sb="28" eb="30">
      <t>シュウリョウ</t>
    </rPh>
    <rPh sb="31" eb="32">
      <t>モト</t>
    </rPh>
    <phoneticPr fontId="2"/>
  </si>
  <si>
    <t>（上記収量のとき、田植機の設定を入力して１箱当たりの収量（理論値）を求める）</t>
    <rPh sb="1" eb="3">
      <t>ジョウキ</t>
    </rPh>
    <rPh sb="3" eb="5">
      <t>シュウリョウ</t>
    </rPh>
    <rPh sb="9" eb="12">
      <t>タウエキ</t>
    </rPh>
    <rPh sb="13" eb="15">
      <t>セッテイ</t>
    </rPh>
    <rPh sb="16" eb="18">
      <t>ニュウリョク</t>
    </rPh>
    <rPh sb="21" eb="22">
      <t>ハコ</t>
    </rPh>
    <rPh sb="22" eb="23">
      <t>アタリ</t>
    </rPh>
    <rPh sb="26" eb="28">
      <t>シュウリョウ</t>
    </rPh>
    <rPh sb="29" eb="32">
      <t>リロンチ</t>
    </rPh>
    <rPh sb="34" eb="35">
      <t>モト</t>
    </rPh>
    <phoneticPr fontId="2"/>
  </si>
  <si>
    <t>１株当たり</t>
    <rPh sb="1" eb="2">
      <t>カブ</t>
    </rPh>
    <rPh sb="2" eb="3">
      <t>ア</t>
    </rPh>
    <phoneticPr fontId="2"/>
  </si>
  <si>
    <t>横送り回数を入力すると、横送り何ｍｍになるか、あるいはその逆を計算</t>
    <rPh sb="0" eb="1">
      <t>ヨコ</t>
    </rPh>
    <rPh sb="1" eb="2">
      <t>オク</t>
    </rPh>
    <rPh sb="3" eb="5">
      <t>カイスウ</t>
    </rPh>
    <rPh sb="6" eb="8">
      <t>ニュウリョク</t>
    </rPh>
    <rPh sb="12" eb="13">
      <t>ヨコ</t>
    </rPh>
    <rPh sb="13" eb="14">
      <t>オク</t>
    </rPh>
    <rPh sb="15" eb="16">
      <t>ナニ</t>
    </rPh>
    <rPh sb="29" eb="30">
      <t>ギャク</t>
    </rPh>
    <rPh sb="31" eb="33">
      <t>ケイサン</t>
    </rPh>
    <phoneticPr fontId="2"/>
  </si>
  <si>
    <t>横送り(mm)</t>
  </si>
  <si>
    <t>横送り回数</t>
  </si>
  <si>
    <t>とれる株数</t>
    <rPh sb="3" eb="5">
      <t>カブスウ</t>
    </rPh>
    <phoneticPr fontId="2"/>
  </si>
  <si>
    <t>株</t>
    <rPh sb="0" eb="1">
      <t>カブ</t>
    </rPh>
    <phoneticPr fontId="2"/>
  </si>
  <si>
    <t>一箱種籾[g]</t>
    <rPh sb="0" eb="1">
      <t>ヒト</t>
    </rPh>
    <rPh sb="1" eb="2">
      <t>ハコ</t>
    </rPh>
    <rPh sb="2" eb="4">
      <t>タネモミ</t>
    </rPh>
    <phoneticPr fontId="2"/>
  </si>
  <si>
    <t>①</t>
    <phoneticPr fontId="2"/>
  </si>
  <si>
    <t>②</t>
    <phoneticPr fontId="2"/>
  </si>
  <si>
    <t>　　設定して下さい→</t>
    <rPh sb="2" eb="4">
      <t>セッテイ</t>
    </rPh>
    <rPh sb="6" eb="7">
      <t>クダ</t>
    </rPh>
    <phoneticPr fontId="2"/>
  </si>
  <si>
    <t>（標準）</t>
    <rPh sb="1" eb="3">
      <t>ヒョウジュン</t>
    </rPh>
    <phoneticPr fontId="2"/>
  </si>
  <si>
    <t>縦送り[mm]</t>
    <rPh sb="0" eb="1">
      <t>タテ</t>
    </rPh>
    <rPh sb="1" eb="2">
      <t>オク</t>
    </rPh>
    <phoneticPr fontId="2"/>
  </si>
  <si>
    <t>（付録14）</t>
    <rPh sb="1" eb="3">
      <t>フロク</t>
    </rPh>
    <phoneticPr fontId="2"/>
  </si>
  <si>
    <t>（付録15）</t>
    <rPh sb="1" eb="3">
      <t>フロク</t>
    </rPh>
    <phoneticPr fontId="2"/>
  </si>
  <si>
    <t>100粒[g]</t>
    <rPh sb="3" eb="4">
      <t>ツブ</t>
    </rPh>
    <phoneticPr fontId="2"/>
  </si>
  <si>
    <t>苗１株の粒数</t>
    <rPh sb="0" eb="1">
      <t>ナエ</t>
    </rPh>
    <rPh sb="2" eb="3">
      <t>カブ</t>
    </rPh>
    <rPh sb="4" eb="5">
      <t>ツブ</t>
    </rPh>
    <rPh sb="5" eb="6">
      <t>スウ</t>
    </rPh>
    <phoneticPr fontId="2"/>
  </si>
  <si>
    <t>千粒重（g）</t>
    <rPh sb="0" eb="1">
      <t>セン</t>
    </rPh>
    <rPh sb="1" eb="2">
      <t>ツブ</t>
    </rPh>
    <rPh sb="2" eb="3">
      <t>ジュウ</t>
    </rPh>
    <phoneticPr fontId="2"/>
  </si>
  <si>
    <t>1月当たり</t>
    <rPh sb="1" eb="2">
      <t>ツキ</t>
    </rPh>
    <rPh sb="2" eb="3">
      <t>ア</t>
    </rPh>
    <phoneticPr fontId="2"/>
  </si>
  <si>
    <t>１日当たり</t>
    <rPh sb="1" eb="2">
      <t>ヒ</t>
    </rPh>
    <rPh sb="2" eb="3">
      <t>ア</t>
    </rPh>
    <phoneticPr fontId="2"/>
  </si>
  <si>
    <t>一食当たり</t>
    <rPh sb="0" eb="1">
      <t>1</t>
    </rPh>
    <rPh sb="1" eb="2">
      <t>ショク</t>
    </rPh>
    <rPh sb="2" eb="3">
      <t>ア</t>
    </rPh>
    <phoneticPr fontId="2"/>
  </si>
  <si>
    <t>g</t>
    <phoneticPr fontId="2"/>
  </si>
  <si>
    <t>粒</t>
    <rPh sb="0" eb="1">
      <t>ツブ</t>
    </rPh>
    <phoneticPr fontId="2"/>
  </si>
  <si>
    <t>米一俵</t>
    <rPh sb="0" eb="1">
      <t>コメ</t>
    </rPh>
    <rPh sb="1" eb="2">
      <t>イチ</t>
    </rPh>
    <rPh sb="2" eb="3">
      <t>ヒョウ</t>
    </rPh>
    <phoneticPr fontId="2"/>
  </si>
  <si>
    <t>面積[m2]</t>
    <rPh sb="0" eb="2">
      <t>メンセキ</t>
    </rPh>
    <phoneticPr fontId="2"/>
  </si>
  <si>
    <t>相当量</t>
    <rPh sb="0" eb="3">
      <t>ソウトウリョウ</t>
    </rPh>
    <phoneticPr fontId="2"/>
  </si>
  <si>
    <t>kg</t>
    <phoneticPr fontId="2"/>
  </si>
  <si>
    <t>上記のとき１箱にまく種籾量[g]と種籾１００粒の重さ[g]から、苗１株あたり平均何粒になるか計算</t>
    <rPh sb="0" eb="2">
      <t>ジョウキ</t>
    </rPh>
    <rPh sb="6" eb="7">
      <t>ハコ</t>
    </rPh>
    <rPh sb="10" eb="12">
      <t>タネモミ</t>
    </rPh>
    <rPh sb="12" eb="13">
      <t>リョウ</t>
    </rPh>
    <rPh sb="17" eb="19">
      <t>タネモミ</t>
    </rPh>
    <rPh sb="22" eb="23">
      <t>ツブ</t>
    </rPh>
    <rPh sb="24" eb="25">
      <t>オモ</t>
    </rPh>
    <rPh sb="32" eb="33">
      <t>ナエ</t>
    </rPh>
    <rPh sb="34" eb="35">
      <t>カブ</t>
    </rPh>
    <rPh sb="38" eb="40">
      <t>ヘイキン</t>
    </rPh>
    <rPh sb="40" eb="41">
      <t>ナニ</t>
    </rPh>
    <rPh sb="41" eb="42">
      <t>ツブ</t>
    </rPh>
    <rPh sb="46" eb="48">
      <t>ケイサン</t>
    </rPh>
    <phoneticPr fontId="2"/>
  </si>
  <si>
    <t>（相当量）</t>
    <rPh sb="1" eb="4">
      <t>ソウトウリョウ</t>
    </rPh>
    <phoneticPr fontId="2"/>
  </si>
  <si>
    <t>☆以下の表中データを入力（修正）すると、各理論値を計算します。</t>
    <rPh sb="1" eb="3">
      <t>イカ</t>
    </rPh>
    <rPh sb="4" eb="6">
      <t>ヒョウチュウ</t>
    </rPh>
    <rPh sb="10" eb="12">
      <t>ニュウリョク</t>
    </rPh>
    <rPh sb="13" eb="15">
      <t>シュウセイ</t>
    </rPh>
    <rPh sb="20" eb="21">
      <t>カク</t>
    </rPh>
    <rPh sb="21" eb="24">
      <t>リロンチ</t>
    </rPh>
    <rPh sb="25" eb="27">
      <t>ケイサン</t>
    </rPh>
    <phoneticPr fontId="3"/>
  </si>
  <si>
    <t>理論上の
株間ｃｍ</t>
    <rPh sb="0" eb="2">
      <t>リロン</t>
    </rPh>
    <rPh sb="2" eb="3">
      <t>ジョウ</t>
    </rPh>
    <rPh sb="5" eb="7">
      <t>カブマ</t>
    </rPh>
    <phoneticPr fontId="3"/>
  </si>
  <si>
    <t>理論の
縦送り量ｍｍ</t>
    <rPh sb="4" eb="5">
      <t>タテ</t>
    </rPh>
    <rPh sb="5" eb="6">
      <t>オク</t>
    </rPh>
    <rPh sb="7" eb="8">
      <t>リョウ</t>
    </rPh>
    <phoneticPr fontId="3"/>
  </si>
  <si>
    <t>理論上の植付面積ｍ2</t>
    <rPh sb="0" eb="2">
      <t>リロン</t>
    </rPh>
    <rPh sb="2" eb="3">
      <t>ジョウ</t>
    </rPh>
    <rPh sb="4" eb="5">
      <t>ウ</t>
    </rPh>
    <rPh sb="5" eb="6">
      <t>ツ</t>
    </rPh>
    <rPh sb="6" eb="8">
      <t>メンセキ</t>
    </rPh>
    <phoneticPr fontId="3"/>
  </si>
  <si>
    <t>理論上の
横送り量ｍｍ</t>
    <rPh sb="0" eb="2">
      <t>リロン</t>
    </rPh>
    <rPh sb="2" eb="3">
      <t>ジョウ</t>
    </rPh>
    <rPh sb="5" eb="6">
      <t>ヨコ</t>
    </rPh>
    <rPh sb="6" eb="7">
      <t>オク</t>
    </rPh>
    <rPh sb="8" eb="9">
      <t>リョウ</t>
    </rPh>
    <phoneticPr fontId="3"/>
  </si>
  <si>
    <t>計算条件： １ 坪＝ 3600/1089 ｍ2、 条間0.3m</t>
    <rPh sb="0" eb="2">
      <t>ケイサン</t>
    </rPh>
    <rPh sb="2" eb="4">
      <t>ジョウケン</t>
    </rPh>
    <rPh sb="4" eb="5">
      <t>テイチ</t>
    </rPh>
    <rPh sb="8" eb="9">
      <t>ツボ</t>
    </rPh>
    <rPh sb="25" eb="26">
      <t>ジョウ</t>
    </rPh>
    <rPh sb="26" eb="27">
      <t>マ</t>
    </rPh>
    <phoneticPr fontId="2"/>
  </si>
  <si>
    <t>計算条件： 育苗箱の横内径0.28m</t>
    <rPh sb="0" eb="2">
      <t>ケイサン</t>
    </rPh>
    <rPh sb="2" eb="4">
      <t>ジョウケン</t>
    </rPh>
    <rPh sb="4" eb="5">
      <t>テイチ</t>
    </rPh>
    <rPh sb="6" eb="9">
      <t>イクビョウバコ</t>
    </rPh>
    <rPh sb="10" eb="11">
      <t>ヨコ</t>
    </rPh>
    <rPh sb="11" eb="13">
      <t>ナイケイ</t>
    </rPh>
    <phoneticPr fontId="2"/>
  </si>
  <si>
    <t>（ずれたとき①②）</t>
    <phoneticPr fontId="2"/>
  </si>
  <si>
    <t>１箱にまく種籾量が標準からずれたとき、１株中の種籾量が同じになる縦送り量（相当量）を計算</t>
    <rPh sb="1" eb="2">
      <t>ハコ</t>
    </rPh>
    <rPh sb="5" eb="7">
      <t>タネモミ</t>
    </rPh>
    <rPh sb="7" eb="8">
      <t>リョウ</t>
    </rPh>
    <rPh sb="9" eb="11">
      <t>ヒョウジュン</t>
    </rPh>
    <rPh sb="20" eb="21">
      <t>カブ</t>
    </rPh>
    <rPh sb="21" eb="22">
      <t>チュウ</t>
    </rPh>
    <rPh sb="23" eb="25">
      <t>タネモミ</t>
    </rPh>
    <rPh sb="25" eb="26">
      <t>リョウ</t>
    </rPh>
    <rPh sb="27" eb="28">
      <t>オナ</t>
    </rPh>
    <rPh sb="32" eb="33">
      <t>タテ</t>
    </rPh>
    <rPh sb="33" eb="34">
      <t>オク</t>
    </rPh>
    <rPh sb="35" eb="36">
      <t>リョウ</t>
    </rPh>
    <rPh sb="37" eb="40">
      <t>ソウトウリョウ</t>
    </rPh>
    <rPh sb="42" eb="44">
      <t>ケイサン</t>
    </rPh>
    <phoneticPr fontId="2"/>
  </si>
  <si>
    <t>※条間は0.3m、欠株は無視</t>
    <rPh sb="1" eb="3">
      <t>ジョウマ</t>
    </rPh>
    <rPh sb="9" eb="10">
      <t>ケツ</t>
    </rPh>
    <rPh sb="10" eb="11">
      <t>カブ</t>
    </rPh>
    <rPh sb="12" eb="14">
      <t>ムシ</t>
    </rPh>
    <phoneticPr fontId="2"/>
  </si>
  <si>
    <t>肥料や薬剤の１０ａ当たり散布量から、ｍ2、坪当りの量を求める</t>
    <rPh sb="9" eb="10">
      <t>ア</t>
    </rPh>
    <rPh sb="12" eb="14">
      <t>サンプ</t>
    </rPh>
    <phoneticPr fontId="2"/>
  </si>
  <si>
    <t>食べる量：年間米一俵60kg、玄米千粒重量（g）のデータから１日に食べる量などを計算</t>
    <rPh sb="0" eb="1">
      <t>タ</t>
    </rPh>
    <rPh sb="3" eb="4">
      <t>リョウ</t>
    </rPh>
    <rPh sb="5" eb="7">
      <t>ネンカン</t>
    </rPh>
    <rPh sb="7" eb="8">
      <t>コメ</t>
    </rPh>
    <rPh sb="8" eb="10">
      <t>イッピョウ</t>
    </rPh>
    <rPh sb="15" eb="17">
      <t>ゲンマイ</t>
    </rPh>
    <rPh sb="17" eb="18">
      <t>セン</t>
    </rPh>
    <rPh sb="18" eb="19">
      <t>ツブ</t>
    </rPh>
    <rPh sb="19" eb="21">
      <t>ジュウリョウ</t>
    </rPh>
    <rPh sb="31" eb="32">
      <t>ヒ</t>
    </rPh>
    <rPh sb="33" eb="34">
      <t>タ</t>
    </rPh>
    <rPh sb="40" eb="42">
      <t>ケイサン</t>
    </rPh>
    <phoneticPr fontId="2"/>
  </si>
  <si>
    <t>作付面積（m2）と全体の収量（kg）を入力して単位面積当たりの収量（kg、俵）を求める</t>
    <rPh sb="19" eb="21">
      <t>ニュウリョク</t>
    </rPh>
    <rPh sb="27" eb="28">
      <t>ア</t>
    </rPh>
    <rPh sb="37" eb="38">
      <t>ヒョウ</t>
    </rPh>
    <rPh sb="40" eb="41">
      <t>モト</t>
    </rPh>
    <phoneticPr fontId="2"/>
  </si>
  <si>
    <t>作付面積（m2）と米袋数（収量）を入力して単位面積当たりの収量（kg、俵）を求める他</t>
    <rPh sb="9" eb="10">
      <t>コメ</t>
    </rPh>
    <rPh sb="17" eb="19">
      <t>ニュウリョク</t>
    </rPh>
    <rPh sb="25" eb="26">
      <t>ア</t>
    </rPh>
    <rPh sb="35" eb="36">
      <t>ヒョウ</t>
    </rPh>
    <rPh sb="38" eb="39">
      <t>モト</t>
    </rPh>
    <rPh sb="41" eb="42">
      <t>ホカ</t>
    </rPh>
    <phoneticPr fontId="2"/>
  </si>
  <si>
    <t>１箱当収量</t>
    <rPh sb="1" eb="2">
      <t>ハコ</t>
    </rPh>
    <rPh sb="2" eb="3">
      <t>アタリ</t>
    </rPh>
    <rPh sb="3" eb="5">
      <t>シュウリョウ</t>
    </rPh>
    <phoneticPr fontId="2"/>
  </si>
  <si>
    <t>1箱種籾[g]</t>
    <rPh sb="1" eb="2">
      <t>ハコ</t>
    </rPh>
    <rPh sb="2" eb="4">
      <t>タネモミ</t>
    </rPh>
    <phoneticPr fontId="2"/>
  </si>
  <si>
    <t>Ta-box 2.50 各理論値の計算</t>
    <rPh sb="12" eb="13">
      <t>カク</t>
    </rPh>
    <rPh sb="13" eb="15">
      <t>リロン</t>
    </rPh>
    <rPh sb="15" eb="16">
      <t>アタイ</t>
    </rPh>
    <rPh sb="17" eb="19">
      <t>ケイサン</t>
    </rPh>
    <phoneticPr fontId="3"/>
  </si>
  <si>
    <t>横送り [m]</t>
    <rPh sb="0" eb="1">
      <t>ヨコ</t>
    </rPh>
    <rPh sb="1" eb="2">
      <t>オク</t>
    </rPh>
    <phoneticPr fontId="3"/>
  </si>
  <si>
    <t>縦送り [m]</t>
    <rPh sb="0" eb="1">
      <t>タテ</t>
    </rPh>
    <rPh sb="1" eb="2">
      <t>オク</t>
    </rPh>
    <phoneticPr fontId="3"/>
  </si>
  <si>
    <t>千粒重[g]</t>
    <rPh sb="0" eb="1">
      <t>セン</t>
    </rPh>
    <rPh sb="1" eb="2">
      <t>ツブ</t>
    </rPh>
    <rPh sb="2" eb="3">
      <t>ジュウ</t>
    </rPh>
    <phoneticPr fontId="3"/>
  </si>
  <si>
    <t>１株粒数</t>
    <rPh sb="1" eb="2">
      <t>カブ</t>
    </rPh>
    <rPh sb="2" eb="3">
      <t>リュウ</t>
    </rPh>
    <rPh sb="3" eb="4">
      <t>スウ</t>
    </rPh>
    <phoneticPr fontId="3"/>
  </si>
  <si>
    <t>Ta-box 2.50 種籾量の理論値計算</t>
    <rPh sb="12" eb="14">
      <t>タネモミ</t>
    </rPh>
    <rPh sb="14" eb="15">
      <t>リョウ</t>
    </rPh>
    <rPh sb="16" eb="18">
      <t>リロン</t>
    </rPh>
    <rPh sb="18" eb="19">
      <t>アタイ</t>
    </rPh>
    <rPh sb="19" eb="21">
      <t>ケイサン</t>
    </rPh>
    <phoneticPr fontId="3"/>
  </si>
  <si>
    <t>種籾量 [kg]</t>
    <rPh sb="0" eb="2">
      <t>タネモミ</t>
    </rPh>
    <rPh sb="2" eb="3">
      <t>リョウ</t>
    </rPh>
    <phoneticPr fontId="3"/>
  </si>
  <si>
    <t>植付面積m2</t>
    <rPh sb="0" eb="1">
      <t>ウ</t>
    </rPh>
    <rPh sb="1" eb="2">
      <t>ツ</t>
    </rPh>
    <rPh sb="2" eb="4">
      <t>メンセキ</t>
    </rPh>
    <phoneticPr fontId="3"/>
  </si>
  <si>
    <t>２　種籾量から植えつけ可能な田の面積の理論値を求める（単位：メートル法）</t>
    <rPh sb="2" eb="5">
      <t>タネモミリョウ</t>
    </rPh>
    <rPh sb="7" eb="8">
      <t>ウ</t>
    </rPh>
    <rPh sb="11" eb="13">
      <t>カノウ</t>
    </rPh>
    <rPh sb="14" eb="15">
      <t>タ</t>
    </rPh>
    <rPh sb="19" eb="22">
      <t>リロンチ</t>
    </rPh>
    <rPh sb="23" eb="24">
      <t>モト</t>
    </rPh>
    <rPh sb="27" eb="29">
      <t>タンイ</t>
    </rPh>
    <rPh sb="34" eb="35">
      <t>ホウ</t>
    </rPh>
    <phoneticPr fontId="2"/>
  </si>
  <si>
    <t>付録３・４計</t>
    <rPh sb="0" eb="2">
      <t>フロク</t>
    </rPh>
    <rPh sb="5" eb="6">
      <t>ケイ</t>
    </rPh>
    <phoneticPr fontId="3"/>
  </si>
  <si>
    <t>※余裕が必要です</t>
    <rPh sb="1" eb="3">
      <t>ヨユウ</t>
    </rPh>
    <rPh sb="4" eb="6">
      <t>ヒツヨウ</t>
    </rPh>
    <phoneticPr fontId="3"/>
  </si>
  <si>
    <t>　下の土は付録４で計算</t>
    <rPh sb="1" eb="2">
      <t>シタ</t>
    </rPh>
    <rPh sb="3" eb="4">
      <t>ツチ</t>
    </rPh>
    <rPh sb="5" eb="7">
      <t>フロク</t>
    </rPh>
    <rPh sb="9" eb="11">
      <t>ケイサン</t>
    </rPh>
    <phoneticPr fontId="2"/>
  </si>
  <si>
    <t>田植機の設定を入力すると１箱からとれる苗の株数を計算</t>
    <rPh sb="0" eb="3">
      <t>タウエキ</t>
    </rPh>
    <rPh sb="4" eb="6">
      <t>セッテイ</t>
    </rPh>
    <rPh sb="7" eb="9">
      <t>ニュウリョク</t>
    </rPh>
    <rPh sb="13" eb="14">
      <t>ハコ</t>
    </rPh>
    <rPh sb="19" eb="20">
      <t>ナエ</t>
    </rPh>
    <rPh sb="21" eb="22">
      <t>カブ</t>
    </rPh>
    <rPh sb="22" eb="23">
      <t>スウ</t>
    </rPh>
    <rPh sb="24" eb="26">
      <t>ケイサン</t>
    </rPh>
    <phoneticPr fontId="2"/>
  </si>
  <si>
    <t>※育苗箱の面積：約 0.16[m2]　</t>
    <rPh sb="1" eb="4">
      <t>イクビョウバコ</t>
    </rPh>
    <rPh sb="5" eb="7">
      <t>メンセキ</t>
    </rPh>
    <rPh sb="8" eb="9">
      <t>ヤク</t>
    </rPh>
    <phoneticPr fontId="2"/>
  </si>
  <si>
    <t>※精米分は無視、有効数字２桁</t>
    <rPh sb="1" eb="3">
      <t>セイマイ</t>
    </rPh>
    <rPh sb="3" eb="4">
      <t>ブン</t>
    </rPh>
    <rPh sb="5" eb="7">
      <t>ムシ</t>
    </rPh>
    <phoneticPr fontId="2"/>
  </si>
  <si>
    <t>反</t>
    <rPh sb="0" eb="1">
      <t>ハン</t>
    </rPh>
    <phoneticPr fontId="2"/>
  </si>
  <si>
    <t>ｍ2</t>
    <phoneticPr fontId="2"/>
  </si>
  <si>
    <t>☆QRコードをスマホやタブレットのカメラで読み込み、出てきたリンク先をタップすればWeb版が使えると思います。</t>
    <rPh sb="21" eb="22">
      <t>ヨ</t>
    </rPh>
    <rPh sb="23" eb="24">
      <t>コ</t>
    </rPh>
    <rPh sb="26" eb="27">
      <t>デ</t>
    </rPh>
    <rPh sb="33" eb="34">
      <t>サキ</t>
    </rPh>
    <rPh sb="44" eb="45">
      <t>バン</t>
    </rPh>
    <rPh sb="46" eb="47">
      <t>ツカ</t>
    </rPh>
    <rPh sb="50" eb="51">
      <t>オモ</t>
    </rPh>
    <phoneticPr fontId="2"/>
  </si>
  <si>
    <t>積算温度</t>
    <rPh sb="0" eb="2">
      <t>セキサン</t>
    </rPh>
    <rPh sb="2" eb="4">
      <t>オンド</t>
    </rPh>
    <phoneticPr fontId="2"/>
  </si>
  <si>
    <t>←入力する</t>
    <rPh sb="1" eb="3">
      <t>ニュウリョク</t>
    </rPh>
    <phoneticPr fontId="2"/>
  </si>
  <si>
    <t>↓</t>
    <phoneticPr fontId="2"/>
  </si>
  <si>
    <t>日数</t>
    <rPh sb="0" eb="2">
      <t>ニッスウ</t>
    </rPh>
    <phoneticPr fontId="2"/>
  </si>
  <si>
    <t>平均温度</t>
    <rPh sb="0" eb="2">
      <t>ヘイキン</t>
    </rPh>
    <rPh sb="2" eb="4">
      <t>オンド</t>
    </rPh>
    <rPh sb="3" eb="4">
      <t>テイオン</t>
    </rPh>
    <phoneticPr fontId="2"/>
  </si>
  <si>
    <t>℃</t>
    <phoneticPr fontId="2"/>
  </si>
  <si>
    <t>日</t>
    <rPh sb="0" eb="1">
      <t>ヒ</t>
    </rPh>
    <phoneticPr fontId="2"/>
  </si>
  <si>
    <t>℃</t>
    <phoneticPr fontId="2"/>
  </si>
  <si>
    <t>平均温度</t>
    <rPh sb="0" eb="2">
      <t>ヘイキン</t>
    </rPh>
    <rPh sb="2" eb="4">
      <t>オンド</t>
    </rPh>
    <phoneticPr fontId="2"/>
  </si>
  <si>
    <t>浸種に必要な積算温度（℃・日）を入力すると、かかる日数または平均温度を計算</t>
    <rPh sb="35" eb="37">
      <t>ケイサン</t>
    </rPh>
    <phoneticPr fontId="2"/>
  </si>
  <si>
    <t>終了までの経過日数から平均温度を計算</t>
    <rPh sb="0" eb="2">
      <t>シュウリョウ</t>
    </rPh>
    <rPh sb="5" eb="7">
      <t>ケイカ</t>
    </rPh>
    <rPh sb="7" eb="9">
      <t>ニッスウ</t>
    </rPh>
    <rPh sb="8" eb="9">
      <t>カジツ</t>
    </rPh>
    <rPh sb="11" eb="13">
      <t>ヘイキン</t>
    </rPh>
    <rPh sb="13" eb="15">
      <t>オンド</t>
    </rPh>
    <rPh sb="16" eb="18">
      <t>ケイサン</t>
    </rPh>
    <phoneticPr fontId="2"/>
  </si>
  <si>
    <t>経過日数</t>
    <rPh sb="0" eb="2">
      <t>ケイカ</t>
    </rPh>
    <rPh sb="2" eb="4">
      <t>ニッスウ</t>
    </rPh>
    <phoneticPr fontId="2"/>
  </si>
  <si>
    <t>平均温度から必要日数を計算</t>
    <rPh sb="0" eb="2">
      <t>ヘイキン</t>
    </rPh>
    <rPh sb="2" eb="4">
      <t>オンド</t>
    </rPh>
    <rPh sb="6" eb="8">
      <t>ヒツヨウ</t>
    </rPh>
    <rPh sb="8" eb="10">
      <t>ニッスウ</t>
    </rPh>
    <rPh sb="11" eb="13">
      <t>ケイサン</t>
    </rPh>
    <phoneticPr fontId="2"/>
  </si>
  <si>
    <t>☆入力の単位がｍで、計算結果の単位がｃｍやｍｍ等となっている場合があります。</t>
    <rPh sb="1" eb="3">
      <t>ニュウリョク</t>
    </rPh>
    <rPh sb="4" eb="6">
      <t>タンイ</t>
    </rPh>
    <rPh sb="10" eb="12">
      <t>ケイサン</t>
    </rPh>
    <rPh sb="12" eb="14">
      <t>ケッカ</t>
    </rPh>
    <rPh sb="15" eb="17">
      <t>タンイ</t>
    </rPh>
    <rPh sb="23" eb="24">
      <t>トウ</t>
    </rPh>
    <rPh sb="30" eb="32">
      <t>バアイ</t>
    </rPh>
    <phoneticPr fontId="2"/>
  </si>
  <si>
    <t>(3)催芽乾燥後種籾量（kg）と箱数から１箱あたりのまく量(g)を求める</t>
    <rPh sb="5" eb="7">
      <t>カンソウ</t>
    </rPh>
    <rPh sb="8" eb="10">
      <t>タネモミ</t>
    </rPh>
    <rPh sb="10" eb="11">
      <t>リョウ</t>
    </rPh>
    <rPh sb="21" eb="22">
      <t>ハコ</t>
    </rPh>
    <rPh sb="28" eb="29">
      <t>リョウ</t>
    </rPh>
    <rPh sb="33" eb="34">
      <t>モト</t>
    </rPh>
    <phoneticPr fontId="3"/>
  </si>
  <si>
    <t>(2)箱数と１箱当たり催芽乾燥後種籾量(g)から必要な種籾量（kg）を求める</t>
    <rPh sb="3" eb="4">
      <t>ハコ</t>
    </rPh>
    <rPh sb="4" eb="5">
      <t>スウ</t>
    </rPh>
    <rPh sb="7" eb="8">
      <t>ハコ</t>
    </rPh>
    <rPh sb="8" eb="9">
      <t>ア</t>
    </rPh>
    <rPh sb="11" eb="13">
      <t>サイガ</t>
    </rPh>
    <rPh sb="13" eb="15">
      <t>カンソウ</t>
    </rPh>
    <rPh sb="15" eb="16">
      <t>ゴ</t>
    </rPh>
    <rPh sb="16" eb="18">
      <t>タネモミ</t>
    </rPh>
    <rPh sb="18" eb="19">
      <t>リョウ</t>
    </rPh>
    <rPh sb="24" eb="26">
      <t>ヒツヨウ</t>
    </rPh>
    <rPh sb="27" eb="29">
      <t>タネモミ</t>
    </rPh>
    <rPh sb="29" eb="30">
      <t>リョウ</t>
    </rPh>
    <rPh sb="35" eb="36">
      <t>モト</t>
    </rPh>
    <phoneticPr fontId="3"/>
  </si>
  <si>
    <t>←入力</t>
    <rPh sb="1" eb="3">
      <t>ニュウリョク</t>
    </rPh>
    <phoneticPr fontId="3"/>
  </si>
  <si>
    <t>面積（反）を入力すると、ｍ2、ａ（ｱｰﾙ）、ｈａ（ヘクタール）に変換</t>
    <rPh sb="0" eb="2">
      <t>メンセキ</t>
    </rPh>
    <rPh sb="3" eb="4">
      <t>ハン</t>
    </rPh>
    <rPh sb="6" eb="8">
      <t>ニュウリョク</t>
    </rPh>
    <rPh sb="32" eb="34">
      <t>ヘンカン</t>
    </rPh>
    <phoneticPr fontId="2"/>
  </si>
  <si>
    <t>（上記株間のときの苗１株当たり平均収量）</t>
    <rPh sb="1" eb="3">
      <t>ジョウキ</t>
    </rPh>
    <rPh sb="3" eb="5">
      <t>カブマ</t>
    </rPh>
    <rPh sb="9" eb="10">
      <t>ナエ</t>
    </rPh>
    <rPh sb="11" eb="12">
      <t>カブ</t>
    </rPh>
    <rPh sb="12" eb="13">
      <t>アタリ</t>
    </rPh>
    <rPh sb="15" eb="17">
      <t>ヘイキン</t>
    </rPh>
    <rPh sb="17" eb="19">
      <t>シュウリョウ</t>
    </rPh>
    <phoneticPr fontId="2"/>
  </si>
  <si>
    <t>（付録16）</t>
    <rPh sb="1" eb="3">
      <t>フロク</t>
    </rPh>
    <phoneticPr fontId="2"/>
  </si>
  <si>
    <t>必要種籾量理論値[kg]</t>
    <rPh sb="0" eb="2">
      <t>ヒツヨウ</t>
    </rPh>
    <rPh sb="2" eb="4">
      <t>タネモミ</t>
    </rPh>
    <rPh sb="4" eb="5">
      <t>リョウ</t>
    </rPh>
    <rPh sb="5" eb="8">
      <t>リロンチ</t>
    </rPh>
    <phoneticPr fontId="3"/>
  </si>
  <si>
    <t>１　田の面積などから、必要な浸種・催芽・乾燥後種籾量の理論値を求める（単位：メートル法）</t>
    <rPh sb="2" eb="3">
      <t>タ</t>
    </rPh>
    <rPh sb="11" eb="13">
      <t>ヒツヨウ</t>
    </rPh>
    <rPh sb="14" eb="15">
      <t>ヒタ</t>
    </rPh>
    <rPh sb="15" eb="16">
      <t>タネ</t>
    </rPh>
    <rPh sb="20" eb="22">
      <t>カンソウ</t>
    </rPh>
    <rPh sb="27" eb="30">
      <t>リロンチ</t>
    </rPh>
    <rPh sb="31" eb="32">
      <t>モト</t>
    </rPh>
    <rPh sb="35" eb="37">
      <t>タンイ</t>
    </rPh>
    <rPh sb="42" eb="43">
      <t>ホウ</t>
    </rPh>
    <phoneticPr fontId="2"/>
  </si>
  <si>
    <t>(1)浸種・催芽、乾燥後の種籾の重さ(kg)をもとに、１箱あたり何gまくと何箱できるか計算</t>
    <rPh sb="6" eb="8">
      <t>サイガ</t>
    </rPh>
    <rPh sb="9" eb="11">
      <t>カンソウ</t>
    </rPh>
    <rPh sb="11" eb="12">
      <t>ゴ</t>
    </rPh>
    <rPh sb="13" eb="14">
      <t>タネ</t>
    </rPh>
    <rPh sb="14" eb="15">
      <t>モミ</t>
    </rPh>
    <phoneticPr fontId="3"/>
  </si>
  <si>
    <t>種籾量kg</t>
    <rPh sb="0" eb="2">
      <t>タネモミ</t>
    </rPh>
    <rPh sb="2" eb="3">
      <t>リョウ</t>
    </rPh>
    <phoneticPr fontId="2"/>
  </si>
  <si>
    <t>※浸種前の量はこれより2.5割程度少なめです</t>
    <rPh sb="1" eb="2">
      <t>ヒタ</t>
    </rPh>
    <rPh sb="2" eb="3">
      <t>タネ</t>
    </rPh>
    <rPh sb="3" eb="4">
      <t>マエ</t>
    </rPh>
    <rPh sb="5" eb="6">
      <t>リョウ</t>
    </rPh>
    <rPh sb="14" eb="15">
      <t>ワリ</t>
    </rPh>
    <rPh sb="15" eb="17">
      <t>テイド</t>
    </rPh>
    <rPh sb="17" eb="18">
      <t>スク</t>
    </rPh>
    <phoneticPr fontId="3"/>
  </si>
  <si>
    <t>上記のとき、種籾の千粒重[g]を入力して１株あたり粒数を計算</t>
    <rPh sb="0" eb="2">
      <t>ジョウキ</t>
    </rPh>
    <rPh sb="6" eb="8">
      <t>タネモミ</t>
    </rPh>
    <rPh sb="9" eb="10">
      <t>セン</t>
    </rPh>
    <rPh sb="10" eb="11">
      <t>ツブ</t>
    </rPh>
    <rPh sb="11" eb="12">
      <t>ジュウ</t>
    </rPh>
    <rPh sb="16" eb="18">
      <t>ニュウリョク</t>
    </rPh>
    <rPh sb="21" eb="22">
      <t>カブ</t>
    </rPh>
    <rPh sb="25" eb="26">
      <t>リュウ</t>
    </rPh>
    <rPh sb="26" eb="27">
      <t>スウ</t>
    </rPh>
    <rPh sb="28" eb="30">
      <t>ケイサン</t>
    </rPh>
    <phoneticPr fontId="3"/>
  </si>
  <si>
    <t>培土１袋20kgのとき、育苗箱１箱あたり何kgの土を入れたら何箱入れられるか。また、培土の袋数を入力して入れられる育苗箱数を計算</t>
    <rPh sb="0" eb="1">
      <t>バイ</t>
    </rPh>
    <rPh sb="1" eb="2">
      <t>ド</t>
    </rPh>
    <rPh sb="3" eb="4">
      <t>フクロ</t>
    </rPh>
    <rPh sb="12" eb="15">
      <t>イクビョウバコ</t>
    </rPh>
    <rPh sb="16" eb="17">
      <t>ハコ</t>
    </rPh>
    <rPh sb="20" eb="21">
      <t>ナン</t>
    </rPh>
    <rPh sb="24" eb="25">
      <t>ツチ</t>
    </rPh>
    <rPh sb="26" eb="27">
      <t>イ</t>
    </rPh>
    <rPh sb="30" eb="32">
      <t>ナンハコ</t>
    </rPh>
    <rPh sb="32" eb="33">
      <t>イ</t>
    </rPh>
    <rPh sb="42" eb="43">
      <t>バイ</t>
    </rPh>
    <rPh sb="43" eb="44">
      <t>ド</t>
    </rPh>
    <rPh sb="45" eb="46">
      <t>フクロ</t>
    </rPh>
    <rPh sb="46" eb="47">
      <t>スウ</t>
    </rPh>
    <rPh sb="48" eb="50">
      <t>ニュウリョク</t>
    </rPh>
    <rPh sb="52" eb="53">
      <t>イ</t>
    </rPh>
    <rPh sb="57" eb="60">
      <t>イクビョウバコ</t>
    </rPh>
    <rPh sb="60" eb="61">
      <t>スウ</t>
    </rPh>
    <rPh sb="62" eb="64">
      <t>ケイサン</t>
    </rPh>
    <phoneticPr fontId="2"/>
  </si>
  <si>
    <t>（催芽機使用の場合）</t>
    <rPh sb="1" eb="3">
      <t>サイガ</t>
    </rPh>
    <rPh sb="3" eb="4">
      <t>キ</t>
    </rPh>
    <rPh sb="4" eb="6">
      <t>シヨウ</t>
    </rPh>
    <rPh sb="7" eb="9">
      <t>バアイ</t>
    </rPh>
    <phoneticPr fontId="2"/>
  </si>
  <si>
    <t>窒素(%)</t>
    <rPh sb="0" eb="2">
      <t>チッソ</t>
    </rPh>
    <phoneticPr fontId="2"/>
  </si>
  <si>
    <t>リン酸(%)</t>
    <rPh sb="2" eb="3">
      <t>サン</t>
    </rPh>
    <phoneticPr fontId="2"/>
  </si>
  <si>
    <t>カリ(%)</t>
    <phoneticPr fontId="2"/>
  </si>
  <si>
    <t>他１(%)</t>
    <rPh sb="0" eb="1">
      <t>タ</t>
    </rPh>
    <phoneticPr fontId="2"/>
  </si>
  <si>
    <t>他２(%)</t>
    <rPh sb="0" eb="1">
      <t>ホカ</t>
    </rPh>
    <phoneticPr fontId="2"/>
  </si>
  <si>
    <t>20kg袋数</t>
    <rPh sb="4" eb="5">
      <t>フクロ</t>
    </rPh>
    <rPh sb="5" eb="6">
      <t>スウ</t>
    </rPh>
    <phoneticPr fontId="2"/>
  </si>
  <si>
    <t>散布面積m2</t>
    <rPh sb="0" eb="2">
      <t>サンプ</t>
    </rPh>
    <rPh sb="2" eb="4">
      <t>メンセキ</t>
    </rPh>
    <phoneticPr fontId="2"/>
  </si>
  <si>
    <t>←入力</t>
    <rPh sb="1" eb="3">
      <t>ニュウリョク</t>
    </rPh>
    <phoneticPr fontId="1"/>
  </si>
  <si>
    <t>総量kg</t>
    <rPh sb="0" eb="2">
      <t>ソウリョウ</t>
    </rPh>
    <phoneticPr fontId="2"/>
  </si>
  <si>
    <t>m2あたりg</t>
    <phoneticPr fontId="2"/>
  </si>
  <si>
    <t>単位</t>
    <rPh sb="0" eb="2">
      <t>タンイ</t>
    </rPh>
    <phoneticPr fontId="2"/>
  </si>
  <si>
    <t>kg</t>
    <phoneticPr fontId="2"/>
  </si>
  <si>
    <t>施肥量kg/a</t>
    <rPh sb="0" eb="2">
      <t>セヒ</t>
    </rPh>
    <rPh sb="2" eb="3">
      <t>リョウ</t>
    </rPh>
    <phoneticPr fontId="2"/>
  </si>
  <si>
    <t>→</t>
    <phoneticPr fontId="2"/>
  </si>
  <si>
    <t>必要袋数</t>
    <rPh sb="0" eb="2">
      <t>ヒツヨウ</t>
    </rPh>
    <rPh sb="2" eb="3">
      <t>フクロ</t>
    </rPh>
    <rPh sb="3" eb="4">
      <t>スウ</t>
    </rPh>
    <phoneticPr fontId="2"/>
  </si>
  <si>
    <t>aあたりkg</t>
    <phoneticPr fontId="2"/>
  </si>
  <si>
    <t>10aあたりkg</t>
    <phoneticPr fontId="2"/>
  </si>
  <si>
    <t>（１）単位面積当り施肥量ｑが［Kg/a］で表されているとき</t>
    <phoneticPr fontId="2"/>
  </si>
  <si>
    <t>（２）単位面積当り施肥量ｑが［Kg/10a］で表されているとき</t>
    <rPh sb="23" eb="24">
      <t>アラワ</t>
    </rPh>
    <phoneticPr fontId="1"/>
  </si>
  <si>
    <t>施肥量kg/10a</t>
    <rPh sb="0" eb="2">
      <t>セヒ</t>
    </rPh>
    <rPh sb="2" eb="3">
      <t>リョウ</t>
    </rPh>
    <phoneticPr fontId="2"/>
  </si>
  <si>
    <t>※袋は20kg入り</t>
    <rPh sb="1" eb="2">
      <t>フクロ</t>
    </rPh>
    <rPh sb="7" eb="8">
      <t>イ</t>
    </rPh>
    <phoneticPr fontId="2"/>
  </si>
  <si>
    <t>Ta-box250　《付録Ⅰ》　種籾量、倍土、積算温度等</t>
    <rPh sb="11" eb="13">
      <t>フロク</t>
    </rPh>
    <rPh sb="16" eb="19">
      <t>タネモミリョウ</t>
    </rPh>
    <rPh sb="20" eb="22">
      <t>バイド</t>
    </rPh>
    <rPh sb="23" eb="25">
      <t>セキサン</t>
    </rPh>
    <rPh sb="25" eb="27">
      <t>オンド</t>
    </rPh>
    <rPh sb="27" eb="28">
      <t>トウ</t>
    </rPh>
    <phoneticPr fontId="2"/>
  </si>
  <si>
    <t>（倍率設定可）</t>
    <rPh sb="1" eb="3">
      <t>バイリツ</t>
    </rPh>
    <rPh sb="3" eb="5">
      <t>セッテイ</t>
    </rPh>
    <rPh sb="5" eb="6">
      <t>カ</t>
    </rPh>
    <phoneticPr fontId="2"/>
  </si>
  <si>
    <t>田の面積などから必要な育苗箱数を計算。それに必要な催芽後、催芽前の種籾量(kg)を推定</t>
    <rPh sb="0" eb="1">
      <t>タ</t>
    </rPh>
    <rPh sb="2" eb="4">
      <t>メンセキ</t>
    </rPh>
    <rPh sb="8" eb="10">
      <t>ヒツヨウ</t>
    </rPh>
    <rPh sb="11" eb="14">
      <t>イクビョウバコ</t>
    </rPh>
    <rPh sb="14" eb="15">
      <t>スウ</t>
    </rPh>
    <rPh sb="16" eb="18">
      <t>ケイサン</t>
    </rPh>
    <rPh sb="22" eb="24">
      <t>ヒツヨウ</t>
    </rPh>
    <rPh sb="25" eb="27">
      <t>サイガ</t>
    </rPh>
    <rPh sb="27" eb="28">
      <t>ゴ</t>
    </rPh>
    <rPh sb="29" eb="31">
      <t>サイガ</t>
    </rPh>
    <rPh sb="31" eb="32">
      <t>マエ</t>
    </rPh>
    <rPh sb="33" eb="35">
      <t>タネモミ</t>
    </rPh>
    <rPh sb="35" eb="36">
      <t>リョウ</t>
    </rPh>
    <rPh sb="41" eb="43">
      <t>スイテイ</t>
    </rPh>
    <phoneticPr fontId="2"/>
  </si>
  <si>
    <t>Ta-box250　《付録Ⅱ》　田植機関係、作付面積、収穫量、殺虫剤など</t>
    <rPh sb="11" eb="13">
      <t>フロク</t>
    </rPh>
    <rPh sb="16" eb="19">
      <t>タウエキ</t>
    </rPh>
    <rPh sb="19" eb="21">
      <t>カンケイ</t>
    </rPh>
    <rPh sb="22" eb="24">
      <t>サクヅ</t>
    </rPh>
    <rPh sb="24" eb="26">
      <t>メンセキ</t>
    </rPh>
    <rPh sb="27" eb="30">
      <t>シュウカクリョウ</t>
    </rPh>
    <rPh sb="31" eb="34">
      <t>サッチュウザイ</t>
    </rPh>
    <phoneticPr fontId="2"/>
  </si>
  <si>
    <t>肥料成分量％</t>
    <rPh sb="0" eb="2">
      <t>ヒリョウ</t>
    </rPh>
    <rPh sb="2" eb="5">
      <t>セイブンリョウ</t>
    </rPh>
    <phoneticPr fontId="2"/>
  </si>
  <si>
    <t>必要な肥料</t>
    <rPh sb="0" eb="2">
      <t>ヒツヨウ</t>
    </rPh>
    <rPh sb="3" eb="5">
      <t>ヒリョウ</t>
    </rPh>
    <phoneticPr fontId="2"/>
  </si>
  <si>
    <t>Ta-box250　《付録Ⅲ》　施肥量関係</t>
    <rPh sb="11" eb="13">
      <t>フロク</t>
    </rPh>
    <rPh sb="16" eb="18">
      <t>セヒ</t>
    </rPh>
    <rPh sb="18" eb="19">
      <t>リョウ</t>
    </rPh>
    <rPh sb="19" eb="21">
      <t>カンケイ</t>
    </rPh>
    <phoneticPr fontId="2"/>
  </si>
  <si>
    <t>（付録17）成分量Ｐ、袋数Ｆの肥料を面積Ｓに散布したときの施肥量を求める（袋は20kg入）</t>
    <rPh sb="1" eb="3">
      <t>フロク</t>
    </rPh>
    <rPh sb="37" eb="38">
      <t>フクロ</t>
    </rPh>
    <rPh sb="43" eb="44">
      <t>イ</t>
    </rPh>
    <phoneticPr fontId="3"/>
  </si>
  <si>
    <t>ｇ/m2</t>
    <phoneticPr fontId="2"/>
  </si>
  <si>
    <t>kg/a</t>
    <phoneticPr fontId="2"/>
  </si>
  <si>
    <t>kg/10a</t>
    <phoneticPr fontId="2"/>
  </si>
  <si>
    <t>浸種前kg</t>
    <rPh sb="0" eb="1">
      <t>ヒタ</t>
    </rPh>
    <rPh sb="1" eb="2">
      <t>タネ</t>
    </rPh>
    <rPh sb="2" eb="3">
      <t>マエ</t>
    </rPh>
    <phoneticPr fontId="2"/>
  </si>
  <si>
    <t>※浸種前kgは消毒なし種子での推定値</t>
    <rPh sb="1" eb="2">
      <t>ヒタ</t>
    </rPh>
    <rPh sb="2" eb="3">
      <t>タネ</t>
    </rPh>
    <rPh sb="3" eb="4">
      <t>マエ</t>
    </rPh>
    <rPh sb="7" eb="9">
      <t>ショウドク</t>
    </rPh>
    <rPh sb="11" eb="13">
      <t>シュシ</t>
    </rPh>
    <rPh sb="15" eb="17">
      <t>スイテイ</t>
    </rPh>
    <rPh sb="17" eb="18">
      <t>アタイ</t>
    </rPh>
    <phoneticPr fontId="3"/>
  </si>
  <si>
    <t>乾燥種籾kg</t>
    <rPh sb="0" eb="2">
      <t>カンソウ</t>
    </rPh>
    <rPh sb="2" eb="4">
      <t>タネモミ</t>
    </rPh>
    <phoneticPr fontId="2"/>
  </si>
  <si>
    <t>　※１箱種籾量は、稚苗用で150ｇ前後、中苗用で100g前後です</t>
    <rPh sb="3" eb="4">
      <t>ハコ</t>
    </rPh>
    <rPh sb="4" eb="6">
      <t>タネモミ</t>
    </rPh>
    <rPh sb="6" eb="7">
      <t>リョウ</t>
    </rPh>
    <rPh sb="9" eb="10">
      <t>チ</t>
    </rPh>
    <rPh sb="10" eb="12">
      <t>ナエヨウ</t>
    </rPh>
    <rPh sb="17" eb="19">
      <t>ゼンゴ</t>
    </rPh>
    <rPh sb="20" eb="21">
      <t>チュウ</t>
    </rPh>
    <rPh sb="21" eb="22">
      <t>ナエ</t>
    </rPh>
    <rPh sb="22" eb="23">
      <t>ヨウ</t>
    </rPh>
    <rPh sb="28" eb="30">
      <t>ゼンゴ</t>
    </rPh>
    <phoneticPr fontId="2"/>
  </si>
  <si>
    <t>３　育苗箱数、必要な種籾量、１箱あたりにまく量</t>
    <rPh sb="2" eb="4">
      <t>イクビョウ</t>
    </rPh>
    <rPh sb="4" eb="5">
      <t>ハコ</t>
    </rPh>
    <rPh sb="5" eb="6">
      <t>スウ</t>
    </rPh>
    <rPh sb="7" eb="9">
      <t>ヒツヨウ</t>
    </rPh>
    <rPh sb="12" eb="13">
      <t>リョウ</t>
    </rPh>
    <rPh sb="15" eb="16">
      <t>ハコ</t>
    </rPh>
    <rPh sb="22" eb="23">
      <t>リョウ</t>
    </rPh>
    <phoneticPr fontId="2"/>
  </si>
  <si>
    <t>散布総量kg</t>
    <rPh sb="0" eb="2">
      <t>サンプ</t>
    </rPh>
    <rPh sb="2" eb="4">
      <t>ソウリョウ</t>
    </rPh>
    <phoneticPr fontId="2"/>
  </si>
  <si>
    <t>成分量P→</t>
    <rPh sb="0" eb="3">
      <t>セイブンリョウ</t>
    </rPh>
    <phoneticPr fontId="2"/>
  </si>
  <si>
    <t>袋数F→</t>
    <rPh sb="0" eb="1">
      <t>フクロ</t>
    </rPh>
    <rPh sb="1" eb="2">
      <t>スウ</t>
    </rPh>
    <phoneticPr fontId="2"/>
  </si>
  <si>
    <t>（付録18）単位面積当り施肥量ｑ、面積Ｓ、肥料成分量Ｐから必要な肥料の袋数Ｆを求める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</si>
</sst>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76" formatCode="0.0_ "/>
    <numFmt numFmtId="177" formatCode="0_ "/>
    <numFmt numFmtId="178" formatCode="0.000_ "/>
    <numFmt numFmtId="179" formatCode="0.00_ "/>
    <numFmt numFmtId="180" formatCode="0_);[Red]\(0\)"/>
    <numFmt numFmtId="181" formatCode="0.00_);[Red]\(0.00\)"/>
    <numFmt numFmtId="182" formatCode="0.0000_ "/>
    <numFmt numFmtId="183" formatCode="0.000_);[Red]\(0.000\)"/>
  </numFmts>
  <fonts count="52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  <font>
      <sz val="9"/>
      <color theme="1"/>
      <name val="ＭＳ Ｐゴシック"/>
      <family val="3"/>
      <charset val="128"/>
    </font>
    <font>
      <sz val="9"/>
      <color theme="1"/>
      <name val="ＭＳ Ｐゴシック"/>
      <family val="2"/>
      <charset val="128"/>
      <scheme val="minor"/>
    </font>
    <font>
      <sz val="9"/>
      <color theme="1"/>
      <name val="ＭＳ Ｐゴシック"/>
      <family val="3"/>
      <charset val="128"/>
      <scheme val="minor"/>
    </font>
    <font>
      <b/>
      <sz val="11"/>
      <color rgb="FFFF0000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11"/>
      <color rgb="FFFF0000"/>
      <name val="ＭＳ Ｐゴシック"/>
      <family val="3"/>
      <charset val="128"/>
      <scheme val="minor"/>
    </font>
    <font>
      <b/>
      <sz val="14"/>
      <color rgb="FFFF0000"/>
      <name val="ＭＳ Ｐゴシック"/>
      <family val="3"/>
      <charset val="128"/>
      <scheme val="minor"/>
    </font>
    <font>
      <sz val="11"/>
      <color rgb="FF00B050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1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b/>
      <sz val="14"/>
      <color theme="1"/>
      <name val="ＭＳ Ｐゴシック"/>
      <family val="3"/>
      <charset val="128"/>
    </font>
    <font>
      <sz val="9"/>
      <color theme="1"/>
      <name val="ＭＳ Ｐゴシック"/>
      <family val="2"/>
      <scheme val="minor"/>
    </font>
    <font>
      <sz val="11"/>
      <color theme="1" tint="4.9989318521683403E-2"/>
      <name val="ＭＳ Ｐゴシック"/>
      <family val="2"/>
      <scheme val="minor"/>
    </font>
    <font>
      <b/>
      <sz val="11"/>
      <color theme="1" tint="4.9989318521683403E-2"/>
      <name val="ＭＳ Ｐゴシック"/>
      <family val="3"/>
      <charset val="128"/>
      <scheme val="minor"/>
    </font>
    <font>
      <sz val="12"/>
      <color theme="1"/>
      <name val="ＭＳ Ｐゴシック"/>
      <family val="2"/>
      <scheme val="minor"/>
    </font>
    <font>
      <sz val="8"/>
      <color theme="1"/>
      <name val="ＭＳ Ｐゴシック"/>
      <family val="2"/>
      <scheme val="minor"/>
    </font>
    <font>
      <b/>
      <sz val="11"/>
      <color theme="1"/>
      <name val="ＭＳ Ｐゴシック"/>
      <family val="3"/>
      <charset val="128"/>
    </font>
    <font>
      <b/>
      <sz val="12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2"/>
      <scheme val="minor"/>
    </font>
    <font>
      <sz val="10"/>
      <color theme="1"/>
      <name val="ＭＳ Ｐゴシック"/>
      <family val="3"/>
      <charset val="128"/>
      <scheme val="minor"/>
    </font>
    <font>
      <sz val="8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2"/>
      <color theme="1"/>
      <name val="ＭＳ ゴシック"/>
      <family val="3"/>
      <charset val="128"/>
    </font>
    <font>
      <sz val="12"/>
      <name val="ＭＳ ゴシック"/>
      <family val="3"/>
      <charset val="128"/>
    </font>
    <font>
      <sz val="12"/>
      <color rgb="FFFF0000"/>
      <name val="ＭＳ ゴシック"/>
      <family val="3"/>
      <charset val="128"/>
    </font>
    <font>
      <sz val="9"/>
      <color theme="1" tint="4.9989318521683403E-2"/>
      <name val="ＭＳ Ｐゴシック"/>
      <family val="3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sz val="12"/>
      <name val="ＭＳ Ｐゴシック"/>
      <family val="3"/>
      <charset val="128"/>
      <scheme val="minor"/>
    </font>
    <font>
      <sz val="11"/>
      <color rgb="FFFF0000"/>
      <name val="ＭＳ Ｐゴシック"/>
      <family val="2"/>
      <scheme val="minor"/>
    </font>
    <font>
      <b/>
      <sz val="12"/>
      <color rgb="FFFF0000"/>
      <name val="ＭＳ ゴシック"/>
      <family val="3"/>
      <charset val="128"/>
    </font>
    <font>
      <sz val="9"/>
      <name val="ＭＳ Ｐゴシック"/>
      <family val="3"/>
      <charset val="128"/>
      <scheme val="minor"/>
    </font>
    <font>
      <sz val="9"/>
      <color rgb="FFFF0000"/>
      <name val="ＭＳ Ｐゴシック"/>
      <family val="2"/>
      <scheme val="minor"/>
    </font>
    <font>
      <b/>
      <sz val="8"/>
      <color theme="1"/>
      <name val="ＭＳ Ｐゴシック"/>
      <family val="3"/>
      <charset val="128"/>
      <scheme val="minor"/>
    </font>
    <font>
      <sz val="10"/>
      <name val="ＭＳ Ｐゴシック"/>
      <family val="3"/>
      <charset val="128"/>
      <scheme val="minor"/>
    </font>
    <font>
      <sz val="14"/>
      <color theme="1"/>
      <name val="ＭＳ Ｐゴシック"/>
      <family val="2"/>
      <scheme val="minor"/>
    </font>
    <font>
      <sz val="11"/>
      <color theme="1" tint="4.9989318521683403E-2"/>
      <name val="ＭＳ Ｐゴシック"/>
      <family val="3"/>
      <charset val="128"/>
      <scheme val="minor"/>
    </font>
    <font>
      <sz val="9"/>
      <name val="ＭＳ ゴシック"/>
      <family val="3"/>
      <charset val="128"/>
    </font>
    <font>
      <b/>
      <sz val="11"/>
      <color rgb="FFFF0000"/>
      <name val="ＭＳ ゴシック"/>
      <family val="3"/>
      <charset val="128"/>
    </font>
    <font>
      <b/>
      <sz val="12"/>
      <color rgb="FFFF0000"/>
      <name val="ＭＳ Ｐゴシック"/>
      <family val="3"/>
      <charset val="128"/>
      <scheme val="minor"/>
    </font>
    <font>
      <b/>
      <sz val="9"/>
      <color theme="1" tint="4.9989318521683403E-2"/>
      <name val="ＭＳ Ｐゴシック"/>
      <family val="3"/>
      <charset val="128"/>
      <scheme val="minor"/>
    </font>
    <font>
      <sz val="11"/>
      <color theme="1"/>
      <name val="ＭＳ Ｐゴシック"/>
      <family val="2"/>
      <scheme val="minor"/>
    </font>
    <font>
      <b/>
      <sz val="11"/>
      <color theme="3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11"/>
      <name val="ＭＳ Ｐゴシック"/>
      <family val="2"/>
      <scheme val="minor"/>
    </font>
    <font>
      <sz val="10"/>
      <name val="ＭＳ Ｐゴシック"/>
      <family val="2"/>
      <scheme val="minor"/>
    </font>
    <font>
      <sz val="9"/>
      <color theme="3"/>
      <name val="ＭＳ Ｐゴシック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79998168889431442"/>
        <bgColor indexed="64"/>
      </patternFill>
    </fill>
  </fills>
  <borders count="32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46" fillId="0" borderId="0"/>
  </cellStyleXfs>
  <cellXfs count="295">
    <xf numFmtId="0" fontId="0" fillId="0" borderId="0" xfId="0"/>
    <xf numFmtId="0" fontId="8" fillId="0" borderId="4" xfId="0" applyFont="1" applyFill="1" applyBorder="1" applyAlignment="1">
      <alignment vertical="center"/>
    </xf>
    <xf numFmtId="0" fontId="8" fillId="0" borderId="5" xfId="0" applyFont="1" applyFill="1" applyBorder="1" applyAlignment="1">
      <alignment vertical="center"/>
    </xf>
    <xf numFmtId="0" fontId="0" fillId="2" borderId="0" xfId="0" applyFill="1" applyAlignment="1">
      <alignment vertical="center"/>
    </xf>
    <xf numFmtId="0" fontId="5" fillId="2" borderId="2" xfId="0" applyFont="1" applyFill="1" applyBorder="1" applyAlignment="1">
      <alignment vertical="center"/>
    </xf>
    <xf numFmtId="0" fontId="6" fillId="2" borderId="2" xfId="0" applyFont="1" applyFill="1" applyBorder="1" applyAlignment="1">
      <alignment vertical="center"/>
    </xf>
    <xf numFmtId="0" fontId="0" fillId="2" borderId="2" xfId="0" applyFill="1" applyBorder="1" applyAlignment="1">
      <alignment vertical="center"/>
    </xf>
    <xf numFmtId="0" fontId="0" fillId="2" borderId="3" xfId="0" applyFill="1" applyBorder="1" applyAlignment="1">
      <alignment vertical="center"/>
    </xf>
    <xf numFmtId="0" fontId="17" fillId="2" borderId="7" xfId="0" applyFont="1" applyFill="1" applyBorder="1" applyAlignment="1">
      <alignment vertical="center" wrapText="1"/>
    </xf>
    <xf numFmtId="0" fontId="0" fillId="3" borderId="0" xfId="0" applyFill="1" applyAlignment="1">
      <alignment vertical="center"/>
    </xf>
    <xf numFmtId="0" fontId="0" fillId="3" borderId="0" xfId="0" applyFill="1" applyBorder="1" applyAlignment="1">
      <alignment vertical="center"/>
    </xf>
    <xf numFmtId="0" fontId="17" fillId="2" borderId="0" xfId="0" applyFont="1" applyFill="1" applyAlignment="1">
      <alignment horizontal="left" vertical="center"/>
    </xf>
    <xf numFmtId="0" fontId="0" fillId="2" borderId="0" xfId="0" applyFill="1" applyAlignment="1">
      <alignment horizontal="left" vertical="center"/>
    </xf>
    <xf numFmtId="0" fontId="21" fillId="2" borderId="0" xfId="0" applyFont="1" applyFill="1" applyAlignment="1">
      <alignment horizontal="center" vertical="center"/>
    </xf>
    <xf numFmtId="0" fontId="23" fillId="2" borderId="0" xfId="0" applyFont="1" applyFill="1" applyAlignment="1">
      <alignment horizontal="right" vertical="center"/>
    </xf>
    <xf numFmtId="0" fontId="24" fillId="2" borderId="1" xfId="0" applyFont="1" applyFill="1" applyBorder="1" applyAlignment="1">
      <alignment horizontal="center" vertical="center"/>
    </xf>
    <xf numFmtId="0" fontId="25" fillId="2" borderId="9" xfId="0" applyFont="1" applyFill="1" applyBorder="1" applyAlignment="1">
      <alignment horizontal="center" vertical="center"/>
    </xf>
    <xf numFmtId="0" fontId="21" fillId="2" borderId="0" xfId="0" applyFont="1" applyFill="1" applyAlignment="1">
      <alignment vertical="center"/>
    </xf>
    <xf numFmtId="0" fontId="26" fillId="2" borderId="0" xfId="0" applyFont="1" applyFill="1" applyAlignment="1">
      <alignment vertical="center"/>
    </xf>
    <xf numFmtId="0" fontId="6" fillId="2" borderId="9" xfId="0" applyFont="1" applyFill="1" applyBorder="1" applyAlignment="1">
      <alignment horizontal="center" vertical="center"/>
    </xf>
    <xf numFmtId="0" fontId="27" fillId="2" borderId="9" xfId="0" applyFont="1" applyFill="1" applyBorder="1" applyAlignment="1">
      <alignment horizontal="center" vertical="center"/>
    </xf>
    <xf numFmtId="0" fontId="28" fillId="2" borderId="4" xfId="0" applyFont="1" applyFill="1" applyBorder="1" applyAlignment="1">
      <alignment horizontal="center" vertical="center"/>
    </xf>
    <xf numFmtId="0" fontId="28" fillId="0" borderId="4" xfId="0" applyFont="1" applyFill="1" applyBorder="1" applyAlignment="1">
      <alignment horizontal="center" vertical="center"/>
    </xf>
    <xf numFmtId="0" fontId="17" fillId="2" borderId="7" xfId="0" applyFont="1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/>
    </xf>
    <xf numFmtId="0" fontId="24" fillId="2" borderId="0" xfId="0" applyFont="1" applyFill="1" applyAlignment="1">
      <alignment vertical="center"/>
    </xf>
    <xf numFmtId="0" fontId="32" fillId="2" borderId="0" xfId="0" applyFont="1" applyFill="1" applyAlignment="1">
      <alignment horizontal="center" vertical="center"/>
    </xf>
    <xf numFmtId="0" fontId="26" fillId="2" borderId="0" xfId="0" applyFont="1" applyFill="1" applyAlignment="1">
      <alignment horizontal="center" vertical="center"/>
    </xf>
    <xf numFmtId="0" fontId="0" fillId="2" borderId="7" xfId="0" applyFont="1" applyFill="1" applyBorder="1" applyAlignment="1">
      <alignment horizontal="center" vertical="center" wrapText="1"/>
    </xf>
    <xf numFmtId="0" fontId="21" fillId="2" borderId="0" xfId="0" applyFont="1" applyFill="1" applyAlignment="1">
      <alignment horizontal="center" vertical="top"/>
    </xf>
    <xf numFmtId="0" fontId="28" fillId="0" borderId="4" xfId="0" applyNumberFormat="1" applyFont="1" applyFill="1" applyBorder="1" applyAlignment="1">
      <alignment horizontal="center" vertical="center"/>
    </xf>
    <xf numFmtId="0" fontId="29" fillId="0" borderId="10" xfId="0" applyNumberFormat="1" applyFont="1" applyFill="1" applyBorder="1" applyAlignment="1">
      <alignment horizontal="center" vertical="center"/>
    </xf>
    <xf numFmtId="0" fontId="29" fillId="0" borderId="5" xfId="0" applyNumberFormat="1" applyFont="1" applyFill="1" applyBorder="1" applyAlignment="1">
      <alignment horizontal="center" vertical="center"/>
    </xf>
    <xf numFmtId="0" fontId="8" fillId="0" borderId="5" xfId="0" applyNumberFormat="1" applyFont="1" applyFill="1" applyBorder="1" applyAlignment="1">
      <alignment horizontal="center" vertical="center"/>
    </xf>
    <xf numFmtId="0" fontId="29" fillId="0" borderId="8" xfId="0" applyNumberFormat="1" applyFont="1" applyFill="1" applyBorder="1" applyAlignment="1">
      <alignment horizontal="center" vertical="center"/>
    </xf>
    <xf numFmtId="0" fontId="29" fillId="0" borderId="4" xfId="0" applyNumberFormat="1" applyFont="1" applyFill="1" applyBorder="1" applyAlignment="1">
      <alignment horizontal="center" vertical="center"/>
    </xf>
    <xf numFmtId="0" fontId="27" fillId="2" borderId="0" xfId="0" applyFont="1" applyFill="1" applyAlignment="1">
      <alignment horizontal="center" vertical="center"/>
    </xf>
    <xf numFmtId="0" fontId="8" fillId="0" borderId="4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/>
    </xf>
    <xf numFmtId="0" fontId="27" fillId="2" borderId="0" xfId="0" applyFont="1" applyFill="1" applyAlignment="1">
      <alignment vertical="center"/>
    </xf>
    <xf numFmtId="0" fontId="17" fillId="2" borderId="0" xfId="0" applyFont="1" applyFill="1" applyBorder="1" applyAlignment="1">
      <alignment horizontal="center" vertical="center" wrapText="1"/>
    </xf>
    <xf numFmtId="0" fontId="17" fillId="2" borderId="13" xfId="0" applyFont="1" applyFill="1" applyBorder="1" applyAlignment="1">
      <alignment vertical="center" wrapText="1"/>
    </xf>
    <xf numFmtId="176" fontId="30" fillId="2" borderId="0" xfId="0" applyNumberFormat="1" applyFont="1" applyFill="1" applyBorder="1" applyAlignment="1">
      <alignment horizontal="center" vertical="center"/>
    </xf>
    <xf numFmtId="0" fontId="17" fillId="2" borderId="0" xfId="0" applyFont="1" applyFill="1" applyAlignment="1">
      <alignment horizontal="center"/>
    </xf>
    <xf numFmtId="0" fontId="34" fillId="2" borderId="0" xfId="0" applyFont="1" applyFill="1" applyAlignment="1">
      <alignment horizontal="center" vertical="center"/>
    </xf>
    <xf numFmtId="0" fontId="27" fillId="2" borderId="7" xfId="0" applyFont="1" applyFill="1" applyBorder="1" applyAlignment="1">
      <alignment horizontal="center" vertical="center"/>
    </xf>
    <xf numFmtId="0" fontId="17" fillId="2" borderId="13" xfId="0" applyFont="1" applyFill="1" applyBorder="1" applyAlignment="1">
      <alignment horizontal="center" vertical="center" wrapText="1"/>
    </xf>
    <xf numFmtId="0" fontId="32" fillId="3" borderId="0" xfId="0" applyFont="1" applyFill="1" applyAlignment="1">
      <alignment vertical="center"/>
    </xf>
    <xf numFmtId="0" fontId="23" fillId="3" borderId="0" xfId="0" applyFont="1" applyFill="1" applyAlignment="1">
      <alignment horizontal="right" vertical="center"/>
    </xf>
    <xf numFmtId="0" fontId="0" fillId="3" borderId="0" xfId="0" applyFill="1" applyAlignment="1">
      <alignment horizontal="left" vertical="center"/>
    </xf>
    <xf numFmtId="0" fontId="0" fillId="3" borderId="1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17" fillId="3" borderId="0" xfId="0" applyFont="1" applyFill="1" applyAlignment="1">
      <alignment horizontal="left" vertical="center"/>
    </xf>
    <xf numFmtId="0" fontId="21" fillId="3" borderId="0" xfId="0" applyFont="1" applyFill="1" applyAlignment="1">
      <alignment horizontal="center" vertical="center"/>
    </xf>
    <xf numFmtId="0" fontId="24" fillId="3" borderId="1" xfId="0" applyFont="1" applyFill="1" applyBorder="1" applyAlignment="1">
      <alignment horizontal="center" vertical="center"/>
    </xf>
    <xf numFmtId="0" fontId="25" fillId="3" borderId="3" xfId="0" applyFont="1" applyFill="1" applyBorder="1" applyAlignment="1">
      <alignment horizontal="center" vertical="center"/>
    </xf>
    <xf numFmtId="0" fontId="25" fillId="3" borderId="9" xfId="0" applyFont="1" applyFill="1" applyBorder="1" applyAlignment="1">
      <alignment horizontal="center" vertical="center"/>
    </xf>
    <xf numFmtId="0" fontId="25" fillId="3" borderId="2" xfId="0" applyFont="1" applyFill="1" applyBorder="1" applyAlignment="1">
      <alignment horizontal="center" vertical="center"/>
    </xf>
    <xf numFmtId="0" fontId="25" fillId="3" borderId="11" xfId="0" applyFont="1" applyFill="1" applyBorder="1" applyAlignment="1">
      <alignment horizontal="center" vertical="center"/>
    </xf>
    <xf numFmtId="180" fontId="27" fillId="3" borderId="1" xfId="0" applyNumberFormat="1" applyFont="1" applyFill="1" applyBorder="1" applyAlignment="1">
      <alignment horizontal="center" vertical="center"/>
    </xf>
    <xf numFmtId="0" fontId="27" fillId="3" borderId="15" xfId="0" applyFont="1" applyFill="1" applyBorder="1" applyAlignment="1">
      <alignment horizontal="center" vertical="center"/>
    </xf>
    <xf numFmtId="0" fontId="27" fillId="3" borderId="0" xfId="0" applyFont="1" applyFill="1" applyBorder="1" applyAlignment="1">
      <alignment horizontal="center" vertical="center"/>
    </xf>
    <xf numFmtId="177" fontId="30" fillId="3" borderId="15" xfId="0" applyNumberFormat="1" applyFont="1" applyFill="1" applyBorder="1" applyAlignment="1">
      <alignment horizontal="center" vertical="center"/>
    </xf>
    <xf numFmtId="176" fontId="30" fillId="3" borderId="0" xfId="0" applyNumberFormat="1" applyFont="1" applyFill="1" applyBorder="1" applyAlignment="1">
      <alignment horizontal="center" vertical="center"/>
    </xf>
    <xf numFmtId="179" fontId="30" fillId="3" borderId="0" xfId="0" applyNumberFormat="1" applyFont="1" applyFill="1" applyBorder="1" applyAlignment="1">
      <alignment horizontal="center" vertical="center"/>
    </xf>
    <xf numFmtId="0" fontId="17" fillId="3" borderId="0" xfId="0" applyFont="1" applyFill="1" applyAlignment="1">
      <alignment vertical="center"/>
    </xf>
    <xf numFmtId="181" fontId="30" fillId="3" borderId="0" xfId="0" applyNumberFormat="1" applyFont="1" applyFill="1" applyBorder="1" applyAlignment="1">
      <alignment horizontal="center" vertical="center"/>
    </xf>
    <xf numFmtId="0" fontId="18" fillId="3" borderId="0" xfId="0" applyFont="1" applyFill="1" applyAlignment="1">
      <alignment horizontal="right" vertical="center"/>
    </xf>
    <xf numFmtId="0" fontId="31" fillId="3" borderId="0" xfId="0" applyFont="1" applyFill="1" applyAlignment="1">
      <alignment horizontal="center" vertical="center"/>
    </xf>
    <xf numFmtId="0" fontId="19" fillId="3" borderId="0" xfId="0" applyFont="1" applyFill="1" applyAlignment="1">
      <alignment horizontal="center" vertical="center"/>
    </xf>
    <xf numFmtId="0" fontId="10" fillId="3" borderId="0" xfId="0" applyFont="1" applyFill="1" applyAlignment="1">
      <alignment horizontal="center" vertical="center"/>
    </xf>
    <xf numFmtId="0" fontId="27" fillId="3" borderId="1" xfId="0" applyFont="1" applyFill="1" applyBorder="1" applyAlignment="1">
      <alignment horizontal="center" vertical="center"/>
    </xf>
    <xf numFmtId="0" fontId="27" fillId="3" borderId="2" xfId="0" applyFont="1" applyFill="1" applyBorder="1" applyAlignment="1">
      <alignment horizontal="center" vertical="center"/>
    </xf>
    <xf numFmtId="0" fontId="27" fillId="3" borderId="9" xfId="0" applyFont="1" applyFill="1" applyBorder="1" applyAlignment="1">
      <alignment horizontal="center" vertical="center"/>
    </xf>
    <xf numFmtId="0" fontId="27" fillId="3" borderId="3" xfId="0" applyFont="1" applyFill="1" applyBorder="1" applyAlignment="1">
      <alignment horizontal="center" vertical="center"/>
    </xf>
    <xf numFmtId="0" fontId="0" fillId="3" borderId="1" xfId="0" applyFont="1" applyFill="1" applyBorder="1" applyAlignment="1">
      <alignment horizontal="center" vertical="center"/>
    </xf>
    <xf numFmtId="0" fontId="0" fillId="3" borderId="0" xfId="0" applyFont="1" applyFill="1" applyAlignment="1">
      <alignment horizontal="left" vertical="center"/>
    </xf>
    <xf numFmtId="0" fontId="14" fillId="3" borderId="0" xfId="0" applyFont="1" applyFill="1" applyAlignment="1">
      <alignment horizontal="center" vertical="center"/>
    </xf>
    <xf numFmtId="0" fontId="0" fillId="3" borderId="0" xfId="0" applyFill="1" applyBorder="1" applyAlignment="1">
      <alignment horizontal="center" vertical="center"/>
    </xf>
    <xf numFmtId="0" fontId="32" fillId="2" borderId="0" xfId="0" applyFont="1" applyFill="1" applyAlignment="1">
      <alignment horizontal="left" vertical="center"/>
    </xf>
    <xf numFmtId="0" fontId="0" fillId="3" borderId="0" xfId="0" applyFill="1" applyAlignment="1">
      <alignment horizontal="center" vertical="center"/>
    </xf>
    <xf numFmtId="0" fontId="29" fillId="3" borderId="4" xfId="0" applyFont="1" applyFill="1" applyBorder="1" applyAlignment="1">
      <alignment horizontal="center" vertical="center"/>
    </xf>
    <xf numFmtId="0" fontId="15" fillId="3" borderId="0" xfId="0" applyFont="1" applyFill="1" applyAlignment="1">
      <alignment horizontal="center" vertical="center"/>
    </xf>
    <xf numFmtId="0" fontId="17" fillId="3" borderId="0" xfId="0" applyFont="1" applyFill="1" applyAlignment="1">
      <alignment horizontal="left"/>
    </xf>
    <xf numFmtId="0" fontId="28" fillId="3" borderId="4" xfId="0" applyFont="1" applyFill="1" applyBorder="1" applyAlignment="1">
      <alignment horizontal="center" vertical="center"/>
    </xf>
    <xf numFmtId="0" fontId="26" fillId="3" borderId="0" xfId="0" applyFont="1" applyFill="1" applyAlignment="1">
      <alignment horizontal="center" vertical="center"/>
    </xf>
    <xf numFmtId="0" fontId="20" fillId="3" borderId="1" xfId="0" applyFont="1" applyFill="1" applyBorder="1" applyAlignment="1">
      <alignment horizontal="center" vertical="center"/>
    </xf>
    <xf numFmtId="0" fontId="27" fillId="3" borderId="11" xfId="0" applyFont="1" applyFill="1" applyBorder="1" applyAlignment="1">
      <alignment horizontal="center" vertical="center"/>
    </xf>
    <xf numFmtId="0" fontId="13" fillId="3" borderId="0" xfId="0" applyFont="1" applyFill="1" applyAlignment="1">
      <alignment horizontal="left" vertical="center"/>
    </xf>
    <xf numFmtId="0" fontId="14" fillId="3" borderId="0" xfId="0" applyFont="1" applyFill="1" applyAlignment="1">
      <alignment horizontal="center"/>
    </xf>
    <xf numFmtId="0" fontId="19" fillId="3" borderId="0" xfId="0" applyFont="1" applyFill="1" applyAlignment="1">
      <alignment horizontal="left" vertical="center"/>
    </xf>
    <xf numFmtId="176" fontId="35" fillId="3" borderId="12" xfId="0" applyNumberFormat="1" applyFont="1" applyFill="1" applyBorder="1" applyAlignment="1">
      <alignment horizontal="center" vertical="center"/>
    </xf>
    <xf numFmtId="177" fontId="35" fillId="3" borderId="4" xfId="0" applyNumberFormat="1" applyFont="1" applyFill="1" applyBorder="1" applyAlignment="1">
      <alignment horizontal="center" vertical="center"/>
    </xf>
    <xf numFmtId="176" fontId="35" fillId="3" borderId="5" xfId="0" applyNumberFormat="1" applyFont="1" applyFill="1" applyBorder="1" applyAlignment="1">
      <alignment horizontal="center" vertical="center"/>
    </xf>
    <xf numFmtId="179" fontId="35" fillId="3" borderId="5" xfId="0" applyNumberFormat="1" applyFont="1" applyFill="1" applyBorder="1" applyAlignment="1">
      <alignment horizontal="center" vertical="center"/>
    </xf>
    <xf numFmtId="181" fontId="35" fillId="3" borderId="6" xfId="0" applyNumberFormat="1" applyFont="1" applyFill="1" applyBorder="1" applyAlignment="1">
      <alignment horizontal="center" vertical="center"/>
    </xf>
    <xf numFmtId="176" fontId="35" fillId="3" borderId="10" xfId="0" applyNumberFormat="1" applyFont="1" applyFill="1" applyBorder="1" applyAlignment="1">
      <alignment horizontal="center" vertical="center"/>
    </xf>
    <xf numFmtId="178" fontId="35" fillId="3" borderId="12" xfId="0" applyNumberFormat="1" applyFont="1" applyFill="1" applyBorder="1" applyAlignment="1">
      <alignment horizontal="center" vertical="center"/>
    </xf>
    <xf numFmtId="176" fontId="35" fillId="3" borderId="6" xfId="0" applyNumberFormat="1" applyFont="1" applyFill="1" applyBorder="1" applyAlignment="1">
      <alignment horizontal="center" vertical="center"/>
    </xf>
    <xf numFmtId="177" fontId="35" fillId="2" borderId="8" xfId="0" applyNumberFormat="1" applyFont="1" applyFill="1" applyBorder="1" applyAlignment="1">
      <alignment horizontal="center" vertical="center"/>
    </xf>
    <xf numFmtId="177" fontId="35" fillId="2" borderId="14" xfId="0" applyNumberFormat="1" applyFont="1" applyFill="1" applyBorder="1" applyAlignment="1">
      <alignment horizontal="center" vertical="center"/>
    </xf>
    <xf numFmtId="176" fontId="35" fillId="2" borderId="8" xfId="0" applyNumberFormat="1" applyFont="1" applyFill="1" applyBorder="1" applyAlignment="1">
      <alignment horizontal="center" vertical="center"/>
    </xf>
    <xf numFmtId="176" fontId="35" fillId="2" borderId="14" xfId="0" applyNumberFormat="1" applyFont="1" applyFill="1" applyBorder="1" applyAlignment="1">
      <alignment horizontal="center" vertical="center"/>
    </xf>
    <xf numFmtId="176" fontId="35" fillId="2" borderId="10" xfId="0" applyNumberFormat="1" applyFont="1" applyFill="1" applyBorder="1" applyAlignment="1">
      <alignment horizontal="center" vertical="center"/>
    </xf>
    <xf numFmtId="176" fontId="35" fillId="2" borderId="16" xfId="0" applyNumberFormat="1" applyFont="1" applyFill="1" applyBorder="1" applyAlignment="1">
      <alignment horizontal="center" vertical="center"/>
    </xf>
    <xf numFmtId="176" fontId="35" fillId="2" borderId="4" xfId="0" applyNumberFormat="1" applyFont="1" applyFill="1" applyBorder="1" applyAlignment="1">
      <alignment horizontal="center" vertical="center"/>
    </xf>
    <xf numFmtId="0" fontId="16" fillId="4" borderId="0" xfId="0" applyFont="1" applyFill="1" applyAlignment="1">
      <alignment vertical="center"/>
    </xf>
    <xf numFmtId="0" fontId="0" fillId="4" borderId="0" xfId="0" applyFill="1" applyAlignment="1">
      <alignment vertical="center"/>
    </xf>
    <xf numFmtId="0" fontId="4" fillId="4" borderId="0" xfId="0" applyFont="1" applyFill="1" applyAlignment="1">
      <alignment vertical="center"/>
    </xf>
    <xf numFmtId="0" fontId="22" fillId="4" borderId="0" xfId="0" applyFont="1" applyFill="1" applyAlignment="1">
      <alignment vertical="center"/>
    </xf>
    <xf numFmtId="0" fontId="14" fillId="4" borderId="0" xfId="0" applyFont="1" applyFill="1" applyAlignment="1">
      <alignment vertical="center"/>
    </xf>
    <xf numFmtId="0" fontId="5" fillId="4" borderId="0" xfId="0" applyFont="1" applyFill="1" applyAlignment="1">
      <alignment vertical="center"/>
    </xf>
    <xf numFmtId="0" fontId="7" fillId="4" borderId="0" xfId="0" applyFont="1" applyFill="1" applyAlignment="1">
      <alignment vertical="center"/>
    </xf>
    <xf numFmtId="0" fontId="0" fillId="4" borderId="1" xfId="0" applyFill="1" applyBorder="1" applyAlignment="1">
      <alignment vertical="center"/>
    </xf>
    <xf numFmtId="0" fontId="5" fillId="4" borderId="2" xfId="0" applyFont="1" applyFill="1" applyBorder="1" applyAlignment="1">
      <alignment vertical="center"/>
    </xf>
    <xf numFmtId="0" fontId="6" fillId="4" borderId="2" xfId="0" applyFont="1" applyFill="1" applyBorder="1" applyAlignment="1">
      <alignment vertical="center"/>
    </xf>
    <xf numFmtId="0" fontId="0" fillId="4" borderId="2" xfId="0" applyFill="1" applyBorder="1" applyAlignment="1">
      <alignment vertical="center"/>
    </xf>
    <xf numFmtId="0" fontId="0" fillId="4" borderId="3" xfId="0" applyFill="1" applyBorder="1" applyAlignment="1">
      <alignment vertical="center"/>
    </xf>
    <xf numFmtId="0" fontId="7" fillId="4" borderId="0" xfId="0" applyFont="1" applyFill="1" applyAlignment="1">
      <alignment horizontal="right" vertical="center"/>
    </xf>
    <xf numFmtId="0" fontId="8" fillId="4" borderId="6" xfId="0" applyFont="1" applyFill="1" applyBorder="1" applyAlignment="1">
      <alignment vertical="center"/>
    </xf>
    <xf numFmtId="0" fontId="10" fillId="4" borderId="0" xfId="0" applyFont="1" applyFill="1" applyAlignment="1">
      <alignment vertical="center"/>
    </xf>
    <xf numFmtId="0" fontId="13" fillId="4" borderId="0" xfId="0" applyFont="1" applyFill="1" applyAlignment="1">
      <alignment vertical="center"/>
    </xf>
    <xf numFmtId="0" fontId="17" fillId="4" borderId="7" xfId="0" applyFont="1" applyFill="1" applyBorder="1" applyAlignment="1">
      <alignment vertical="center" wrapText="1"/>
    </xf>
    <xf numFmtId="0" fontId="1" fillId="4" borderId="2" xfId="0" applyFont="1" applyFill="1" applyBorder="1" applyAlignment="1">
      <alignment vertical="center"/>
    </xf>
    <xf numFmtId="0" fontId="17" fillId="4" borderId="2" xfId="0" applyFont="1" applyFill="1" applyBorder="1" applyAlignment="1">
      <alignment vertical="center"/>
    </xf>
    <xf numFmtId="0" fontId="12" fillId="4" borderId="0" xfId="0" applyFont="1" applyFill="1" applyAlignment="1">
      <alignment vertical="center"/>
    </xf>
    <xf numFmtId="0" fontId="13" fillId="4" borderId="0" xfId="0" applyFont="1" applyFill="1" applyAlignment="1">
      <alignment horizontal="center" vertical="center"/>
    </xf>
    <xf numFmtId="0" fontId="15" fillId="3" borderId="0" xfId="0" applyFont="1" applyFill="1" applyAlignment="1">
      <alignment horizontal="left" vertical="center"/>
    </xf>
    <xf numFmtId="0" fontId="15" fillId="3" borderId="1" xfId="0" applyFont="1" applyFill="1" applyBorder="1" applyAlignment="1">
      <alignment horizontal="center" vertical="center"/>
    </xf>
    <xf numFmtId="0" fontId="15" fillId="3" borderId="3" xfId="0" applyFont="1" applyFill="1" applyBorder="1" applyAlignment="1">
      <alignment horizontal="center" vertical="center"/>
    </xf>
    <xf numFmtId="0" fontId="15" fillId="3" borderId="7" xfId="0" applyFont="1" applyFill="1" applyBorder="1" applyAlignment="1">
      <alignment horizontal="center" vertical="center"/>
    </xf>
    <xf numFmtId="177" fontId="29" fillId="0" borderId="16" xfId="0" applyNumberFormat="1" applyFont="1" applyFill="1" applyBorder="1" applyAlignment="1">
      <alignment horizontal="center" vertical="center"/>
    </xf>
    <xf numFmtId="177" fontId="35" fillId="3" borderId="16" xfId="0" applyNumberFormat="1" applyFont="1" applyFill="1" applyBorder="1" applyAlignment="1">
      <alignment horizontal="center" vertical="center"/>
    </xf>
    <xf numFmtId="182" fontId="29" fillId="0" borderId="6" xfId="0" applyNumberFormat="1" applyFont="1" applyFill="1" applyBorder="1" applyAlignment="1">
      <alignment horizontal="center" vertical="center"/>
    </xf>
    <xf numFmtId="176" fontId="35" fillId="3" borderId="16" xfId="0" applyNumberFormat="1" applyFont="1" applyFill="1" applyBorder="1" applyAlignment="1">
      <alignment horizontal="center" vertical="center"/>
    </xf>
    <xf numFmtId="0" fontId="36" fillId="3" borderId="0" xfId="0" applyFont="1" applyFill="1" applyAlignment="1">
      <alignment horizontal="left" vertical="center"/>
    </xf>
    <xf numFmtId="0" fontId="37" fillId="3" borderId="0" xfId="0" applyFont="1" applyFill="1" applyAlignment="1">
      <alignment horizontal="center" vertical="center"/>
    </xf>
    <xf numFmtId="0" fontId="13" fillId="3" borderId="0" xfId="0" applyFont="1" applyFill="1" applyAlignment="1">
      <alignment horizontal="center" vertical="center"/>
    </xf>
    <xf numFmtId="0" fontId="20" fillId="3" borderId="13" xfId="0" applyFont="1" applyFill="1" applyBorder="1" applyAlignment="1">
      <alignment horizontal="center" vertical="center"/>
    </xf>
    <xf numFmtId="0" fontId="25" fillId="3" borderId="19" xfId="0" applyFont="1" applyFill="1" applyBorder="1" applyAlignment="1">
      <alignment horizontal="center" vertical="center"/>
    </xf>
    <xf numFmtId="0" fontId="21" fillId="3" borderId="18" xfId="0" applyFont="1" applyFill="1" applyBorder="1" applyAlignment="1">
      <alignment horizontal="center" vertical="center"/>
    </xf>
    <xf numFmtId="0" fontId="38" fillId="3" borderId="18" xfId="0" applyFont="1" applyFill="1" applyBorder="1" applyAlignment="1">
      <alignment horizontal="center" vertical="center"/>
    </xf>
    <xf numFmtId="0" fontId="28" fillId="0" borderId="17" xfId="0" applyFont="1" applyFill="1" applyBorder="1" applyAlignment="1">
      <alignment horizontal="center" vertical="center"/>
    </xf>
    <xf numFmtId="0" fontId="25" fillId="3" borderId="21" xfId="0" applyFont="1" applyFill="1" applyBorder="1" applyAlignment="1">
      <alignment horizontal="center" vertical="center"/>
    </xf>
    <xf numFmtId="176" fontId="35" fillId="0" borderId="20" xfId="0" applyNumberFormat="1" applyFont="1" applyFill="1" applyBorder="1" applyAlignment="1">
      <alignment horizontal="center" vertical="center"/>
    </xf>
    <xf numFmtId="178" fontId="35" fillId="0" borderId="20" xfId="0" applyNumberFormat="1" applyFont="1" applyFill="1" applyBorder="1" applyAlignment="1">
      <alignment horizontal="center" vertical="center"/>
    </xf>
    <xf numFmtId="178" fontId="35" fillId="0" borderId="22" xfId="0" applyNumberFormat="1" applyFont="1" applyFill="1" applyBorder="1" applyAlignment="1">
      <alignment horizontal="center" vertical="center"/>
    </xf>
    <xf numFmtId="176" fontId="35" fillId="0" borderId="10" xfId="0" applyNumberFormat="1" applyFont="1" applyFill="1" applyBorder="1" applyAlignment="1">
      <alignment horizontal="center" vertical="center"/>
    </xf>
    <xf numFmtId="178" fontId="35" fillId="0" borderId="6" xfId="0" applyNumberFormat="1" applyFont="1" applyFill="1" applyBorder="1" applyAlignment="1">
      <alignment horizontal="center" vertical="center"/>
    </xf>
    <xf numFmtId="0" fontId="17" fillId="2" borderId="7" xfId="0" applyFont="1" applyFill="1" applyBorder="1" applyAlignment="1">
      <alignment horizontal="center" vertical="center"/>
    </xf>
    <xf numFmtId="178" fontId="29" fillId="0" borderId="17" xfId="0" applyNumberFormat="1" applyFont="1" applyFill="1" applyBorder="1" applyAlignment="1">
      <alignment horizontal="center" vertical="center"/>
    </xf>
    <xf numFmtId="0" fontId="15" fillId="3" borderId="9" xfId="0" applyFont="1" applyFill="1" applyBorder="1" applyAlignment="1">
      <alignment horizontal="center" vertical="center"/>
    </xf>
    <xf numFmtId="182" fontId="29" fillId="0" borderId="10" xfId="0" applyNumberFormat="1" applyFont="1" applyFill="1" applyBorder="1" applyAlignment="1">
      <alignment horizontal="center" vertical="center"/>
    </xf>
    <xf numFmtId="176" fontId="35" fillId="3" borderId="0" xfId="0" applyNumberFormat="1" applyFont="1" applyFill="1" applyBorder="1" applyAlignment="1">
      <alignment horizontal="center" vertical="center"/>
    </xf>
    <xf numFmtId="182" fontId="29" fillId="0" borderId="4" xfId="0" applyNumberFormat="1" applyFont="1" applyFill="1" applyBorder="1" applyAlignment="1">
      <alignment horizontal="center" vertical="center"/>
    </xf>
    <xf numFmtId="0" fontId="39" fillId="3" borderId="7" xfId="0" applyFont="1" applyFill="1" applyBorder="1" applyAlignment="1">
      <alignment horizontal="center" vertical="center"/>
    </xf>
    <xf numFmtId="0" fontId="24" fillId="3" borderId="0" xfId="0" applyFont="1" applyFill="1" applyAlignment="1">
      <alignment vertical="center"/>
    </xf>
    <xf numFmtId="0" fontId="15" fillId="3" borderId="13" xfId="0" applyFont="1" applyFill="1" applyBorder="1" applyAlignment="1">
      <alignment horizontal="center" vertical="center"/>
    </xf>
    <xf numFmtId="0" fontId="0" fillId="3" borderId="0" xfId="0" applyFill="1" applyAlignment="1">
      <alignment horizontal="right" vertical="center"/>
    </xf>
    <xf numFmtId="0" fontId="41" fillId="3" borderId="0" xfId="0" applyFont="1" applyFill="1" applyAlignment="1">
      <alignment horizontal="right" vertical="center"/>
    </xf>
    <xf numFmtId="177" fontId="29" fillId="0" borderId="17" xfId="0" applyNumberFormat="1" applyFont="1" applyFill="1" applyBorder="1" applyAlignment="1">
      <alignment horizontal="center" vertical="center"/>
    </xf>
    <xf numFmtId="0" fontId="41" fillId="3" borderId="0" xfId="0" applyFont="1" applyFill="1" applyAlignment="1">
      <alignment horizontal="left" vertical="center"/>
    </xf>
    <xf numFmtId="0" fontId="31" fillId="3" borderId="0" xfId="0" applyFont="1" applyFill="1" applyAlignment="1">
      <alignment horizontal="center" vertical="top"/>
    </xf>
    <xf numFmtId="181" fontId="29" fillId="3" borderId="0" xfId="0" applyNumberFormat="1" applyFont="1" applyFill="1" applyBorder="1" applyAlignment="1">
      <alignment horizontal="center" vertical="center"/>
    </xf>
    <xf numFmtId="181" fontId="42" fillId="3" borderId="0" xfId="0" applyNumberFormat="1" applyFont="1" applyFill="1" applyBorder="1" applyAlignment="1">
      <alignment horizontal="left" vertical="center"/>
    </xf>
    <xf numFmtId="176" fontId="35" fillId="3" borderId="4" xfId="0" applyNumberFormat="1" applyFont="1" applyFill="1" applyBorder="1" applyAlignment="1">
      <alignment horizontal="center" vertical="center"/>
    </xf>
    <xf numFmtId="176" fontId="29" fillId="0" borderId="6" xfId="0" applyNumberFormat="1" applyFont="1" applyFill="1" applyBorder="1" applyAlignment="1">
      <alignment horizontal="center" vertical="center"/>
    </xf>
    <xf numFmtId="0" fontId="25" fillId="3" borderId="1" xfId="0" applyFont="1" applyFill="1" applyBorder="1" applyAlignment="1">
      <alignment horizontal="center" vertical="center"/>
    </xf>
    <xf numFmtId="0" fontId="0" fillId="3" borderId="11" xfId="0" applyFill="1" applyBorder="1" applyAlignment="1">
      <alignment horizontal="center" vertical="center"/>
    </xf>
    <xf numFmtId="177" fontId="29" fillId="0" borderId="4" xfId="0" applyNumberFormat="1" applyFont="1" applyFill="1" applyBorder="1" applyAlignment="1">
      <alignment horizontal="center" vertical="center"/>
    </xf>
    <xf numFmtId="176" fontId="43" fillId="3" borderId="12" xfId="0" applyNumberFormat="1" applyFont="1" applyFill="1" applyBorder="1" applyAlignment="1">
      <alignment horizontal="center" vertical="center"/>
    </xf>
    <xf numFmtId="179" fontId="35" fillId="0" borderId="6" xfId="0" applyNumberFormat="1" applyFont="1" applyFill="1" applyBorder="1" applyAlignment="1">
      <alignment horizontal="center" vertical="center"/>
    </xf>
    <xf numFmtId="0" fontId="40" fillId="3" borderId="0" xfId="0" applyFont="1" applyFill="1" applyAlignment="1">
      <alignment vertical="center"/>
    </xf>
    <xf numFmtId="0" fontId="17" fillId="4" borderId="7" xfId="0" applyFont="1" applyFill="1" applyBorder="1" applyAlignment="1">
      <alignment horizontal="center" vertical="center" wrapText="1"/>
    </xf>
    <xf numFmtId="0" fontId="27" fillId="2" borderId="13" xfId="0" applyFont="1" applyFill="1" applyBorder="1" applyAlignment="1">
      <alignment horizontal="center" vertical="center"/>
    </xf>
    <xf numFmtId="0" fontId="29" fillId="0" borderId="17" xfId="0" applyNumberFormat="1" applyFont="1" applyFill="1" applyBorder="1" applyAlignment="1">
      <alignment horizontal="center" vertical="center"/>
    </xf>
    <xf numFmtId="0" fontId="17" fillId="2" borderId="9" xfId="0" applyFont="1" applyFill="1" applyBorder="1" applyAlignment="1">
      <alignment vertical="center" wrapText="1"/>
    </xf>
    <xf numFmtId="0" fontId="33" fillId="0" borderId="8" xfId="0" applyNumberFormat="1" applyFont="1" applyFill="1" applyBorder="1" applyAlignment="1">
      <alignment horizontal="center" vertical="center"/>
    </xf>
    <xf numFmtId="0" fontId="25" fillId="2" borderId="7" xfId="0" applyFont="1" applyFill="1" applyBorder="1" applyAlignment="1">
      <alignment horizontal="center" vertical="center"/>
    </xf>
    <xf numFmtId="0" fontId="20" fillId="3" borderId="0" xfId="0" applyFont="1" applyFill="1" applyAlignment="1">
      <alignment vertical="center"/>
    </xf>
    <xf numFmtId="0" fontId="0" fillId="2" borderId="2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9" fillId="2" borderId="2" xfId="0" applyFont="1" applyFill="1" applyBorder="1" applyAlignment="1">
      <alignment horizontal="center" vertical="center"/>
    </xf>
    <xf numFmtId="0" fontId="25" fillId="2" borderId="2" xfId="0" applyFont="1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8" fillId="2" borderId="6" xfId="0" applyFont="1" applyFill="1" applyBorder="1" applyAlignment="1">
      <alignment horizontal="center" vertical="center"/>
    </xf>
    <xf numFmtId="0" fontId="8" fillId="2" borderId="6" xfId="0" applyNumberFormat="1" applyFont="1" applyFill="1" applyBorder="1" applyAlignment="1">
      <alignment horizontal="center" vertical="center"/>
    </xf>
    <xf numFmtId="176" fontId="44" fillId="4" borderId="8" xfId="0" applyNumberFormat="1" applyFont="1" applyFill="1" applyBorder="1" applyAlignment="1">
      <alignment vertical="center"/>
    </xf>
    <xf numFmtId="0" fontId="45" fillId="3" borderId="0" xfId="0" applyFont="1" applyFill="1" applyAlignment="1">
      <alignment horizontal="right"/>
    </xf>
    <xf numFmtId="0" fontId="25" fillId="3" borderId="7" xfId="0" applyFont="1" applyFill="1" applyBorder="1" applyAlignment="1">
      <alignment horizontal="center" vertical="center"/>
    </xf>
    <xf numFmtId="0" fontId="29" fillId="0" borderId="16" xfId="0" applyNumberFormat="1" applyFont="1" applyFill="1" applyBorder="1" applyAlignment="1">
      <alignment horizontal="center" vertical="center"/>
    </xf>
    <xf numFmtId="180" fontId="27" fillId="3" borderId="7" xfId="0" applyNumberFormat="1" applyFont="1" applyFill="1" applyBorder="1" applyAlignment="1">
      <alignment horizontal="center" vertical="center"/>
    </xf>
    <xf numFmtId="180" fontId="35" fillId="3" borderId="16" xfId="0" applyNumberFormat="1" applyFont="1" applyFill="1" applyBorder="1" applyAlignment="1">
      <alignment horizontal="center" vertical="center"/>
    </xf>
    <xf numFmtId="179" fontId="29" fillId="0" borderId="16" xfId="0" applyNumberFormat="1" applyFont="1" applyFill="1" applyBorder="1" applyAlignment="1">
      <alignment horizontal="center" vertical="center"/>
    </xf>
    <xf numFmtId="179" fontId="35" fillId="3" borderId="10" xfId="0" applyNumberFormat="1" applyFont="1" applyFill="1" applyBorder="1" applyAlignment="1">
      <alignment horizontal="center" vertical="center"/>
    </xf>
    <xf numFmtId="180" fontId="35" fillId="3" borderId="4" xfId="0" applyNumberFormat="1" applyFont="1" applyFill="1" applyBorder="1" applyAlignment="1">
      <alignment horizontal="center" vertical="center"/>
    </xf>
    <xf numFmtId="181" fontId="35" fillId="3" borderId="10" xfId="0" applyNumberFormat="1" applyFont="1" applyFill="1" applyBorder="1" applyAlignment="1">
      <alignment horizontal="center" vertical="center"/>
    </xf>
    <xf numFmtId="181" fontId="35" fillId="3" borderId="4" xfId="0" applyNumberFormat="1" applyFont="1" applyFill="1" applyBorder="1" applyAlignment="1">
      <alignment horizontal="center" vertical="center"/>
    </xf>
    <xf numFmtId="180" fontId="35" fillId="3" borderId="6" xfId="0" applyNumberFormat="1" applyFont="1" applyFill="1" applyBorder="1" applyAlignment="1">
      <alignment horizontal="center" vertical="center"/>
    </xf>
    <xf numFmtId="0" fontId="16" fillId="5" borderId="0" xfId="0" applyFont="1" applyFill="1" applyAlignment="1">
      <alignment vertical="center"/>
    </xf>
    <xf numFmtId="0" fontId="0" fillId="5" borderId="0" xfId="0" applyFill="1"/>
    <xf numFmtId="0" fontId="20" fillId="5" borderId="0" xfId="0" applyFont="1" applyFill="1" applyAlignment="1">
      <alignment vertical="center"/>
    </xf>
    <xf numFmtId="0" fontId="0" fillId="5" borderId="1" xfId="0" applyFill="1" applyBorder="1"/>
    <xf numFmtId="0" fontId="0" fillId="5" borderId="2" xfId="0" applyFill="1" applyBorder="1"/>
    <xf numFmtId="0" fontId="24" fillId="5" borderId="2" xfId="0" applyFont="1" applyFill="1" applyBorder="1"/>
    <xf numFmtId="0" fontId="24" fillId="5" borderId="3" xfId="0" applyFont="1" applyFill="1" applyBorder="1"/>
    <xf numFmtId="0" fontId="24" fillId="5" borderId="0" xfId="0" applyFont="1" applyFill="1"/>
    <xf numFmtId="0" fontId="17" fillId="5" borderId="0" xfId="0" applyFont="1" applyFill="1" applyAlignment="1">
      <alignment vertical="center"/>
    </xf>
    <xf numFmtId="0" fontId="25" fillId="5" borderId="0" xfId="0" applyFont="1" applyFill="1" applyAlignment="1">
      <alignment vertical="top"/>
    </xf>
    <xf numFmtId="0" fontId="0" fillId="5" borderId="0" xfId="0" applyFill="1" applyAlignment="1">
      <alignment horizontal="right"/>
    </xf>
    <xf numFmtId="0" fontId="0" fillId="5" borderId="0" xfId="0" applyFill="1" applyAlignment="1">
      <alignment horizontal="center"/>
    </xf>
    <xf numFmtId="0" fontId="0" fillId="5" borderId="0" xfId="0" applyFill="1" applyAlignment="1">
      <alignment vertical="center"/>
    </xf>
    <xf numFmtId="179" fontId="44" fillId="5" borderId="23" xfId="0" applyNumberFormat="1" applyFont="1" applyFill="1" applyBorder="1" applyAlignment="1">
      <alignment horizontal="right" vertical="center"/>
    </xf>
    <xf numFmtId="0" fontId="0" fillId="5" borderId="0" xfId="0" applyFill="1" applyBorder="1"/>
    <xf numFmtId="0" fontId="24" fillId="5" borderId="0" xfId="0" applyFont="1" applyFill="1" applyAlignment="1">
      <alignment vertical="center"/>
    </xf>
    <xf numFmtId="0" fontId="0" fillId="5" borderId="0" xfId="0" applyFill="1" applyAlignment="1">
      <alignment horizontal="left"/>
    </xf>
    <xf numFmtId="0" fontId="0" fillId="5" borderId="7" xfId="0" applyFill="1" applyBorder="1"/>
    <xf numFmtId="0" fontId="0" fillId="5" borderId="7" xfId="0" applyFont="1" applyFill="1" applyBorder="1"/>
    <xf numFmtId="176" fontId="44" fillId="5" borderId="16" xfId="0" applyNumberFormat="1" applyFont="1" applyFill="1" applyBorder="1" applyAlignment="1">
      <alignment vertical="center"/>
    </xf>
    <xf numFmtId="0" fontId="20" fillId="5" borderId="0" xfId="0" applyFont="1" applyFill="1"/>
    <xf numFmtId="0" fontId="24" fillId="5" borderId="3" xfId="0" applyFont="1" applyFill="1" applyBorder="1" applyAlignment="1">
      <alignment vertical="center"/>
    </xf>
    <xf numFmtId="0" fontId="24" fillId="5" borderId="7" xfId="0" applyFont="1" applyFill="1" applyBorder="1"/>
    <xf numFmtId="0" fontId="24" fillId="5" borderId="1" xfId="0" applyFont="1" applyFill="1" applyBorder="1"/>
    <xf numFmtId="176" fontId="44" fillId="5" borderId="6" xfId="0" applyNumberFormat="1" applyFont="1" applyFill="1" applyBorder="1" applyAlignment="1">
      <alignment horizontal="right" vertical="center"/>
    </xf>
    <xf numFmtId="0" fontId="24" fillId="5" borderId="0" xfId="0" applyFont="1" applyFill="1" applyAlignment="1">
      <alignment horizontal="left" vertical="center"/>
    </xf>
    <xf numFmtId="0" fontId="17" fillId="5" borderId="0" xfId="0" applyFont="1" applyFill="1"/>
    <xf numFmtId="0" fontId="6" fillId="5" borderId="0" xfId="0" applyFont="1" applyFill="1"/>
    <xf numFmtId="0" fontId="0" fillId="5" borderId="3" xfId="0" applyFill="1" applyBorder="1"/>
    <xf numFmtId="176" fontId="44" fillId="5" borderId="5" xfId="0" applyNumberFormat="1" applyFont="1" applyFill="1" applyBorder="1" applyAlignment="1">
      <alignment vertical="center"/>
    </xf>
    <xf numFmtId="0" fontId="17" fillId="5" borderId="0" xfId="0" applyFont="1" applyFill="1" applyAlignment="1">
      <alignment horizontal="center"/>
    </xf>
    <xf numFmtId="0" fontId="6" fillId="5" borderId="0" xfId="0" applyFont="1" applyFill="1" applyAlignment="1">
      <alignment horizontal="center"/>
    </xf>
    <xf numFmtId="0" fontId="0" fillId="0" borderId="4" xfId="0" applyFill="1" applyBorder="1" applyAlignment="1">
      <alignment horizontal="right" vertical="center"/>
    </xf>
    <xf numFmtId="0" fontId="0" fillId="0" borderId="5" xfId="0" applyFill="1" applyBorder="1" applyAlignment="1">
      <alignment horizontal="right" vertical="center"/>
    </xf>
    <xf numFmtId="0" fontId="0" fillId="0" borderId="6" xfId="0" applyFill="1" applyBorder="1" applyAlignment="1">
      <alignment horizontal="right" vertical="center"/>
    </xf>
    <xf numFmtId="176" fontId="0" fillId="0" borderId="16" xfId="0" applyNumberFormat="1" applyFill="1" applyBorder="1" applyAlignment="1">
      <alignment horizontal="right" vertical="center"/>
    </xf>
    <xf numFmtId="0" fontId="0" fillId="0" borderId="4" xfId="0" applyFill="1" applyBorder="1" applyAlignment="1">
      <alignment vertical="center"/>
    </xf>
    <xf numFmtId="0" fontId="0" fillId="0" borderId="5" xfId="0" applyFill="1" applyBorder="1" applyAlignment="1">
      <alignment vertical="center"/>
    </xf>
    <xf numFmtId="0" fontId="17" fillId="2" borderId="0" xfId="0" applyFont="1" applyFill="1" applyAlignment="1">
      <alignment horizontal="left" vertical="top"/>
    </xf>
    <xf numFmtId="176" fontId="29" fillId="0" borderId="16" xfId="0" applyNumberFormat="1" applyFont="1" applyFill="1" applyBorder="1" applyAlignment="1">
      <alignment horizontal="center" vertical="center"/>
    </xf>
    <xf numFmtId="0" fontId="0" fillId="2" borderId="7" xfId="0" applyFill="1" applyBorder="1" applyAlignment="1">
      <alignment vertical="center"/>
    </xf>
    <xf numFmtId="0" fontId="0" fillId="0" borderId="16" xfId="0" applyFill="1" applyBorder="1" applyAlignment="1">
      <alignment horizontal="center" vertical="center"/>
    </xf>
    <xf numFmtId="0" fontId="0" fillId="2" borderId="28" xfId="0" applyFill="1" applyBorder="1" applyAlignment="1">
      <alignment horizontal="center" vertical="center"/>
    </xf>
    <xf numFmtId="0" fontId="0" fillId="2" borderId="29" xfId="0" applyFill="1" applyBorder="1" applyAlignment="1">
      <alignment horizontal="center" vertical="center"/>
    </xf>
    <xf numFmtId="0" fontId="0" fillId="2" borderId="26" xfId="0" applyFill="1" applyBorder="1" applyAlignment="1">
      <alignment horizontal="center" vertical="center"/>
    </xf>
    <xf numFmtId="0" fontId="0" fillId="2" borderId="24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176" fontId="44" fillId="2" borderId="27" xfId="0" applyNumberFormat="1" applyFont="1" applyFill="1" applyBorder="1" applyAlignment="1">
      <alignment horizontal="center" vertical="center"/>
    </xf>
    <xf numFmtId="176" fontId="44" fillId="2" borderId="6" xfId="0" applyNumberFormat="1" applyFont="1" applyFill="1" applyBorder="1" applyAlignment="1">
      <alignment horizontal="center" vertical="center"/>
    </xf>
    <xf numFmtId="176" fontId="44" fillId="2" borderId="25" xfId="0" applyNumberFormat="1" applyFont="1" applyFill="1" applyBorder="1" applyAlignment="1">
      <alignment horizontal="center" vertical="center"/>
    </xf>
    <xf numFmtId="176" fontId="47" fillId="5" borderId="6" xfId="0" applyNumberFormat="1" applyFont="1" applyFill="1" applyBorder="1" applyAlignment="1">
      <alignment horizontal="right" vertical="center"/>
    </xf>
    <xf numFmtId="0" fontId="23" fillId="0" borderId="0" xfId="0" applyFont="1" applyAlignment="1">
      <alignment vertical="center"/>
    </xf>
    <xf numFmtId="0" fontId="0" fillId="6" borderId="0" xfId="0" applyFill="1"/>
    <xf numFmtId="0" fontId="0" fillId="6" borderId="1" xfId="0" applyFill="1" applyBorder="1"/>
    <xf numFmtId="0" fontId="24" fillId="6" borderId="3" xfId="0" applyFont="1" applyFill="1" applyBorder="1"/>
    <xf numFmtId="0" fontId="0" fillId="6" borderId="0" xfId="0" applyFill="1" applyAlignment="1">
      <alignment vertical="center"/>
    </xf>
    <xf numFmtId="0" fontId="32" fillId="6" borderId="0" xfId="0" applyFont="1" applyFill="1"/>
    <xf numFmtId="0" fontId="0" fillId="6" borderId="23" xfId="0" applyFill="1" applyBorder="1" applyAlignment="1">
      <alignment horizontal="center" vertical="center"/>
    </xf>
    <xf numFmtId="0" fontId="0" fillId="6" borderId="2" xfId="0" applyFill="1" applyBorder="1" applyAlignment="1">
      <alignment vertical="center"/>
    </xf>
    <xf numFmtId="0" fontId="0" fillId="6" borderId="3" xfId="0" applyFill="1" applyBorder="1" applyAlignment="1">
      <alignment vertical="center"/>
    </xf>
    <xf numFmtId="0" fontId="0" fillId="6" borderId="1" xfId="0" applyFill="1" applyBorder="1" applyAlignment="1">
      <alignment horizontal="center" vertical="center"/>
    </xf>
    <xf numFmtId="0" fontId="0" fillId="6" borderId="2" xfId="0" applyFill="1" applyBorder="1" applyAlignment="1">
      <alignment horizontal="center" vertical="center"/>
    </xf>
    <xf numFmtId="0" fontId="0" fillId="6" borderId="3" xfId="0" applyFill="1" applyBorder="1" applyAlignment="1">
      <alignment horizontal="center" vertical="center"/>
    </xf>
    <xf numFmtId="0" fontId="0" fillId="6" borderId="0" xfId="0" applyFill="1" applyAlignment="1">
      <alignment horizontal="right" vertical="center"/>
    </xf>
    <xf numFmtId="0" fontId="40" fillId="0" borderId="4" xfId="0" applyFont="1" applyFill="1" applyBorder="1" applyAlignment="1">
      <alignment horizontal="center" vertical="center"/>
    </xf>
    <xf numFmtId="0" fontId="40" fillId="0" borderId="5" xfId="0" applyFont="1" applyFill="1" applyBorder="1" applyAlignment="1">
      <alignment horizontal="center" vertical="center"/>
    </xf>
    <xf numFmtId="0" fontId="40" fillId="0" borderId="6" xfId="0" applyFont="1" applyFill="1" applyBorder="1" applyAlignment="1">
      <alignment horizontal="center" vertical="center"/>
    </xf>
    <xf numFmtId="0" fontId="40" fillId="0" borderId="17" xfId="0" applyFont="1" applyFill="1" applyBorder="1" applyAlignment="1">
      <alignment horizontal="center" vertical="center"/>
    </xf>
    <xf numFmtId="0" fontId="20" fillId="0" borderId="6" xfId="0" applyFont="1" applyFill="1" applyBorder="1" applyAlignment="1">
      <alignment horizontal="center" vertical="center"/>
    </xf>
    <xf numFmtId="0" fontId="17" fillId="6" borderId="0" xfId="0" applyFont="1" applyFill="1"/>
    <xf numFmtId="0" fontId="24" fillId="6" borderId="0" xfId="0" applyFont="1" applyFill="1" applyAlignment="1">
      <alignment horizontal="right" vertical="center"/>
    </xf>
    <xf numFmtId="0" fontId="48" fillId="6" borderId="0" xfId="0" applyFont="1" applyFill="1" applyAlignment="1">
      <alignment horizontal="center" vertical="center"/>
    </xf>
    <xf numFmtId="179" fontId="11" fillId="6" borderId="16" xfId="0" applyNumberFormat="1" applyFont="1" applyFill="1" applyBorder="1" applyAlignment="1">
      <alignment horizontal="center" vertical="center"/>
    </xf>
    <xf numFmtId="0" fontId="0" fillId="6" borderId="7" xfId="0" applyFill="1" applyBorder="1" applyAlignment="1">
      <alignment horizontal="center" vertical="center"/>
    </xf>
    <xf numFmtId="176" fontId="0" fillId="6" borderId="7" xfId="0" applyNumberFormat="1" applyFill="1" applyBorder="1" applyAlignment="1">
      <alignment horizontal="center" vertical="center"/>
    </xf>
    <xf numFmtId="0" fontId="40" fillId="0" borderId="5" xfId="0" applyFont="1" applyFill="1" applyBorder="1" applyAlignment="1">
      <alignment vertical="center"/>
    </xf>
    <xf numFmtId="0" fontId="40" fillId="0" borderId="6" xfId="0" applyFont="1" applyFill="1" applyBorder="1" applyAlignment="1">
      <alignment vertical="center"/>
    </xf>
    <xf numFmtId="0" fontId="32" fillId="6" borderId="0" xfId="0" applyFont="1" applyFill="1" applyAlignment="1">
      <alignment vertical="center"/>
    </xf>
    <xf numFmtId="0" fontId="23" fillId="6" borderId="0" xfId="0" applyFont="1" applyFill="1"/>
    <xf numFmtId="176" fontId="40" fillId="0" borderId="4" xfId="0" applyNumberFormat="1" applyFont="1" applyFill="1" applyBorder="1" applyAlignment="1">
      <alignment vertical="center"/>
    </xf>
    <xf numFmtId="0" fontId="40" fillId="0" borderId="4" xfId="0" applyNumberFormat="1" applyFont="1" applyFill="1" applyBorder="1" applyAlignment="1">
      <alignment vertical="center"/>
    </xf>
    <xf numFmtId="0" fontId="0" fillId="6" borderId="1" xfId="0" applyFont="1" applyFill="1" applyBorder="1" applyAlignment="1">
      <alignment vertical="center"/>
    </xf>
    <xf numFmtId="0" fontId="17" fillId="2" borderId="0" xfId="0" applyFont="1" applyFill="1" applyAlignment="1">
      <alignment horizontal="center" vertical="top"/>
    </xf>
    <xf numFmtId="0" fontId="49" fillId="2" borderId="0" xfId="0" applyFont="1" applyFill="1" applyAlignment="1">
      <alignment horizontal="center" vertical="center"/>
    </xf>
    <xf numFmtId="0" fontId="15" fillId="2" borderId="0" xfId="0" applyFont="1" applyFill="1" applyAlignment="1">
      <alignment horizontal="center" vertical="center"/>
    </xf>
    <xf numFmtId="0" fontId="50" fillId="2" borderId="0" xfId="0" applyFont="1" applyFill="1" applyAlignment="1">
      <alignment horizontal="center" vertical="center"/>
    </xf>
    <xf numFmtId="0" fontId="20" fillId="6" borderId="0" xfId="0" applyFont="1" applyFill="1" applyAlignment="1">
      <alignment horizontal="right" vertical="center"/>
    </xf>
    <xf numFmtId="179" fontId="44" fillId="4" borderId="8" xfId="0" applyNumberFormat="1" applyFont="1" applyFill="1" applyBorder="1" applyAlignment="1">
      <alignment vertical="center"/>
    </xf>
    <xf numFmtId="178" fontId="44" fillId="5" borderId="16" xfId="0" applyNumberFormat="1" applyFont="1" applyFill="1" applyBorder="1" applyAlignment="1">
      <alignment vertical="center"/>
    </xf>
    <xf numFmtId="181" fontId="44" fillId="6" borderId="23" xfId="0" applyNumberFormat="1" applyFont="1" applyFill="1" applyBorder="1" applyAlignment="1">
      <alignment horizontal="center" vertical="center"/>
    </xf>
    <xf numFmtId="0" fontId="51" fillId="5" borderId="0" xfId="0" applyFont="1" applyFill="1"/>
    <xf numFmtId="0" fontId="44" fillId="5" borderId="6" xfId="0" applyFont="1" applyFill="1" applyBorder="1" applyAlignment="1">
      <alignment horizontal="right" vertical="center"/>
    </xf>
    <xf numFmtId="183" fontId="44" fillId="6" borderId="7" xfId="0" applyNumberFormat="1" applyFont="1" applyFill="1" applyBorder="1" applyAlignment="1">
      <alignment horizontal="center" vertical="center"/>
    </xf>
    <xf numFmtId="183" fontId="44" fillId="6" borderId="30" xfId="0" applyNumberFormat="1" applyFont="1" applyFill="1" applyBorder="1" applyAlignment="1">
      <alignment horizontal="center" vertical="center"/>
    </xf>
    <xf numFmtId="183" fontId="44" fillId="6" borderId="31" xfId="0" applyNumberFormat="1" applyFont="1" applyFill="1" applyBorder="1" applyAlignment="1">
      <alignment horizontal="center" vertical="center"/>
    </xf>
    <xf numFmtId="183" fontId="44" fillId="6" borderId="16" xfId="0" applyNumberFormat="1" applyFont="1" applyFill="1" applyBorder="1" applyAlignment="1">
      <alignment horizontal="center" vertical="center"/>
    </xf>
  </cellXfs>
  <cellStyles count="2">
    <cellStyle name="標準" xfId="0" builtinId="0"/>
    <cellStyle name="標準 2" xfId="1"/>
  </cellStyles>
  <dxfs count="0"/>
  <tableStyles count="0" defaultTableStyle="TableStyleMedium2" defaultPivotStyle="PivotStyleMedium9"/>
  <colors>
    <mruColors>
      <color rgb="FFE0FECA"/>
      <color rgb="FFBEFEBE"/>
      <color rgb="FF8AFE8A"/>
      <color rgb="FF6AFE6A"/>
      <color rgb="FF22FE22"/>
      <color rgb="FF1F914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hyperlink" Target="http://j-ken.my.coocan.jp/ta/ta-box/ta-webskh.htm" TargetMode="External"/><Relationship Id="rId2" Type="http://schemas.openxmlformats.org/officeDocument/2006/relationships/image" Target="../media/image1.png"/><Relationship Id="rId1" Type="http://schemas.openxmlformats.org/officeDocument/2006/relationships/hyperlink" Target="http://j-ken.my.coocan.jp/ta/ta-box/ta-web.htm" TargetMode="External"/><Relationship Id="rId4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800096</xdr:colOff>
      <xdr:row>115</xdr:row>
      <xdr:rowOff>76199</xdr:rowOff>
    </xdr:from>
    <xdr:to>
      <xdr:col>3</xdr:col>
      <xdr:colOff>743164</xdr:colOff>
      <xdr:row>126</xdr:row>
      <xdr:rowOff>19304</xdr:rowOff>
    </xdr:to>
    <xdr:pic>
      <xdr:nvPicPr>
        <xdr:cNvPr id="2" name="図 1" descr="Ta-box Web版へのリンクです。スマホなどのカメラで読み取って、でてきたものをタップして下さい。" title="Ta-box Web版へのリンク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33521" y="13068299"/>
          <a:ext cx="1562318" cy="1829055"/>
        </a:xfrm>
        <a:prstGeom prst="rect">
          <a:avLst/>
        </a:prstGeom>
      </xdr:spPr>
    </xdr:pic>
    <xdr:clientData/>
  </xdr:twoCellAnchor>
  <xdr:twoCellAnchor editAs="oneCell">
    <xdr:from>
      <xdr:col>5</xdr:col>
      <xdr:colOff>800100</xdr:colOff>
      <xdr:row>115</xdr:row>
      <xdr:rowOff>104775</xdr:rowOff>
    </xdr:from>
    <xdr:to>
      <xdr:col>7</xdr:col>
      <xdr:colOff>742950</xdr:colOff>
      <xdr:row>124</xdr:row>
      <xdr:rowOff>123825</xdr:rowOff>
    </xdr:to>
    <xdr:pic>
      <xdr:nvPicPr>
        <xdr:cNvPr id="4" name="図 3" descr="Ta-boxwskh_QR">
          <a:hlinkClick xmlns:r="http://schemas.openxmlformats.org/officeDocument/2006/relationships" r:id="rId3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72025" y="13096875"/>
          <a:ext cx="1562100" cy="1562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</sheetPr>
  <dimension ref="A1:F46"/>
  <sheetViews>
    <sheetView tabSelected="1" workbookViewId="0">
      <selection activeCell="G1" sqref="G1"/>
    </sheetView>
  </sheetViews>
  <sheetFormatPr defaultRowHeight="13.5"/>
  <cols>
    <col min="1" max="1" width="7.375" style="107" customWidth="1"/>
    <col min="2" max="7" width="10.625" style="107" customWidth="1"/>
    <col min="8" max="14" width="10" style="107" customWidth="1"/>
    <col min="15" max="16384" width="9" style="107"/>
  </cols>
  <sheetData>
    <row r="1" spans="1:6" ht="22.5" customHeight="1">
      <c r="A1" s="106" t="s">
        <v>178</v>
      </c>
    </row>
    <row r="2" spans="1:6">
      <c r="A2" s="108"/>
    </row>
    <row r="3" spans="1:6">
      <c r="A3" s="109" t="s">
        <v>162</v>
      </c>
    </row>
    <row r="4" spans="1:6">
      <c r="A4" s="109" t="s">
        <v>37</v>
      </c>
    </row>
    <row r="5" spans="1:6">
      <c r="A5" s="109" t="s">
        <v>209</v>
      </c>
    </row>
    <row r="7" spans="1:6">
      <c r="B7" s="110" t="s">
        <v>12</v>
      </c>
    </row>
    <row r="8" spans="1:6" ht="14.25" thickBot="1">
      <c r="C8" s="111" t="s">
        <v>0</v>
      </c>
    </row>
    <row r="9" spans="1:6">
      <c r="A9" s="112"/>
      <c r="B9" s="113" t="s">
        <v>1</v>
      </c>
      <c r="C9" s="114" t="s">
        <v>2</v>
      </c>
      <c r="D9" s="115" t="s">
        <v>3</v>
      </c>
      <c r="E9" s="116" t="s">
        <v>4</v>
      </c>
      <c r="F9" s="117" t="s">
        <v>5</v>
      </c>
    </row>
    <row r="10" spans="1:6" ht="21" customHeight="1" thickBot="1">
      <c r="A10" s="118" t="s">
        <v>8</v>
      </c>
      <c r="B10" s="1">
        <v>1000</v>
      </c>
      <c r="C10" s="2">
        <v>1.0999999999999999E-2</v>
      </c>
      <c r="D10" s="2">
        <v>1.2999999999999999E-2</v>
      </c>
      <c r="E10" s="2">
        <v>0.18</v>
      </c>
      <c r="F10" s="119">
        <v>0.3</v>
      </c>
    </row>
    <row r="11" spans="1:6">
      <c r="A11" s="120"/>
      <c r="B11" s="121" t="s">
        <v>13</v>
      </c>
    </row>
    <row r="12" spans="1:6" ht="14.25" thickBot="1">
      <c r="B12" s="121" t="s">
        <v>10</v>
      </c>
    </row>
    <row r="13" spans="1:6" ht="30.75" customHeight="1">
      <c r="B13" s="122" t="s">
        <v>11</v>
      </c>
    </row>
    <row r="14" spans="1:6" ht="33" customHeight="1" thickBot="1">
      <c r="B14" s="286">
        <f>IF(ISERR(B10*C10*D10/(E10*F10*0.16)),"まず、上にすべてのデータを入力してください",B10*C10*D10/(E10*F10*0.16))</f>
        <v>16.550925925925924</v>
      </c>
    </row>
    <row r="15" spans="1:6" ht="22.5" customHeight="1"/>
    <row r="16" spans="1:6">
      <c r="B16" s="121" t="s">
        <v>15</v>
      </c>
    </row>
    <row r="17" spans="1:6" ht="14.25" thickBot="1">
      <c r="D17" s="111" t="s">
        <v>0</v>
      </c>
    </row>
    <row r="18" spans="1:6">
      <c r="B18" s="113" t="s">
        <v>1</v>
      </c>
      <c r="C18" s="123" t="s">
        <v>7</v>
      </c>
      <c r="D18" s="115" t="s">
        <v>2</v>
      </c>
      <c r="E18" s="124" t="s">
        <v>3</v>
      </c>
      <c r="F18" s="117" t="s">
        <v>5</v>
      </c>
    </row>
    <row r="19" spans="1:6" ht="21" customHeight="1" thickBot="1">
      <c r="A19" s="118" t="s">
        <v>8</v>
      </c>
      <c r="B19" s="1"/>
      <c r="C19" s="2"/>
      <c r="D19" s="2"/>
      <c r="E19" s="2"/>
      <c r="F19" s="119">
        <v>0.3</v>
      </c>
    </row>
    <row r="20" spans="1:6" ht="14.25" thickBot="1">
      <c r="A20" s="125"/>
      <c r="B20" s="126" t="s">
        <v>9</v>
      </c>
    </row>
    <row r="21" spans="1:6" ht="22.5">
      <c r="B21" s="173" t="s">
        <v>163</v>
      </c>
    </row>
    <row r="22" spans="1:6" ht="33.75" customHeight="1" thickBot="1">
      <c r="B22" s="286" t="str">
        <f>IF(ISERR(B19*D19*E19/(0.16*C19*F19)*100),"まず、上にすべてのデータを入力してください",B19*D19*E19/(0.16*C19*F19)*100)</f>
        <v>まず、上にすべてのデータを入力してください</v>
      </c>
      <c r="C22" s="121"/>
    </row>
    <row r="23" spans="1:6" ht="22.5" customHeight="1"/>
    <row r="24" spans="1:6" ht="14.25" customHeight="1">
      <c r="B24" s="121" t="s">
        <v>16</v>
      </c>
    </row>
    <row r="25" spans="1:6" ht="14.25" thickBot="1">
      <c r="D25" s="111" t="s">
        <v>0</v>
      </c>
    </row>
    <row r="26" spans="1:6">
      <c r="B26" s="113" t="s">
        <v>1</v>
      </c>
      <c r="C26" s="114" t="s">
        <v>7</v>
      </c>
      <c r="D26" s="115" t="s">
        <v>2</v>
      </c>
      <c r="E26" s="116" t="s">
        <v>4</v>
      </c>
      <c r="F26" s="117" t="s">
        <v>5</v>
      </c>
    </row>
    <row r="27" spans="1:6" ht="21" customHeight="1" thickBot="1">
      <c r="A27" s="118" t="s">
        <v>8</v>
      </c>
      <c r="B27" s="1"/>
      <c r="C27" s="2"/>
      <c r="D27" s="2"/>
      <c r="E27" s="2"/>
      <c r="F27" s="119">
        <v>0.3</v>
      </c>
    </row>
    <row r="28" spans="1:6" ht="14.25" thickBot="1">
      <c r="B28" s="126" t="s">
        <v>14</v>
      </c>
    </row>
    <row r="29" spans="1:6" ht="22.5">
      <c r="B29" s="173" t="s">
        <v>164</v>
      </c>
    </row>
    <row r="30" spans="1:6" ht="33.75" customHeight="1" thickBot="1">
      <c r="B30" s="286" t="str">
        <f>IF(ISERR(0.16*E27*F27*C27/(B27*D27)*1000),"まず、上にすべてのデータを入力してください",0.16*E27*F27*C27/(B27*D27)*1000)</f>
        <v>まず、上にすべてのデータを入力してください</v>
      </c>
    </row>
    <row r="32" spans="1:6">
      <c r="B32" s="121" t="s">
        <v>18</v>
      </c>
    </row>
    <row r="33" spans="1:6" ht="14.25" thickBot="1">
      <c r="D33" s="111" t="s">
        <v>0</v>
      </c>
    </row>
    <row r="34" spans="1:6">
      <c r="B34" s="113" t="s">
        <v>7</v>
      </c>
      <c r="C34" s="114" t="s">
        <v>2</v>
      </c>
      <c r="D34" s="115" t="s">
        <v>3</v>
      </c>
      <c r="E34" s="116" t="s">
        <v>4</v>
      </c>
      <c r="F34" s="117" t="s">
        <v>5</v>
      </c>
    </row>
    <row r="35" spans="1:6" ht="21" customHeight="1" thickBot="1">
      <c r="A35" s="118" t="s">
        <v>8</v>
      </c>
      <c r="B35" s="1"/>
      <c r="C35" s="2"/>
      <c r="D35" s="2"/>
      <c r="E35" s="2"/>
      <c r="F35" s="119">
        <v>0.3</v>
      </c>
    </row>
    <row r="36" spans="1:6" ht="14.25" thickBot="1">
      <c r="B36" s="126" t="s">
        <v>14</v>
      </c>
    </row>
    <row r="37" spans="1:6" ht="22.5">
      <c r="B37" s="122" t="s">
        <v>165</v>
      </c>
    </row>
    <row r="38" spans="1:6" ht="33.75" customHeight="1" thickBot="1">
      <c r="B38" s="187" t="str">
        <f>IF(ISERR(0.16*E35*F35*B35/(C35*D35)),"まず、上にすべてのデータを入力してください",0.16*E35*F35*B35/(C35*D35))</f>
        <v>まず、上にすべてのデータを入力してください</v>
      </c>
    </row>
    <row r="40" spans="1:6">
      <c r="B40" s="121" t="s">
        <v>17</v>
      </c>
    </row>
    <row r="41" spans="1:6" ht="14.25" thickBot="1">
      <c r="D41" s="111" t="s">
        <v>0</v>
      </c>
    </row>
    <row r="42" spans="1:6">
      <c r="B42" s="113" t="s">
        <v>1</v>
      </c>
      <c r="C42" s="114" t="s">
        <v>7</v>
      </c>
      <c r="D42" s="115" t="s">
        <v>4</v>
      </c>
      <c r="E42" s="116" t="s">
        <v>3</v>
      </c>
      <c r="F42" s="117" t="s">
        <v>5</v>
      </c>
    </row>
    <row r="43" spans="1:6" ht="21" customHeight="1" thickBot="1">
      <c r="A43" s="118" t="s">
        <v>8</v>
      </c>
      <c r="B43" s="1"/>
      <c r="C43" s="2"/>
      <c r="D43" s="2"/>
      <c r="E43" s="2"/>
      <c r="F43" s="119">
        <v>0.3</v>
      </c>
    </row>
    <row r="44" spans="1:6" ht="14.25" thickBot="1">
      <c r="B44" s="126" t="s">
        <v>14</v>
      </c>
    </row>
    <row r="45" spans="1:6" ht="22.5">
      <c r="B45" s="173" t="s">
        <v>166</v>
      </c>
    </row>
    <row r="46" spans="1:6" ht="33.75" customHeight="1" thickBot="1">
      <c r="B46" s="286" t="str">
        <f>IF(ISERR(0.16*D43*F43*C43/(B43*E43)*1000),"まず、上にすべてのデータを入力してください",0.16*D43*F43*C43/(B43*E43)*1000)</f>
        <v>まず、上にすべてのデータを入力してください</v>
      </c>
    </row>
  </sheetData>
  <phoneticPr fontId="3"/>
  <pageMargins left="0.62992125984251968" right="0.23622047244094491" top="0.15748031496062992" bottom="0.15748031496062992" header="0.31496062992125984" footer="0.31496062992125984"/>
  <pageSetup paperSize="9" scale="8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J38"/>
  <sheetViews>
    <sheetView workbookViewId="0">
      <selection activeCell="I9" sqref="I9"/>
    </sheetView>
  </sheetViews>
  <sheetFormatPr defaultRowHeight="13.5"/>
  <cols>
    <col min="1" max="1" width="4.25" style="200" customWidth="1"/>
    <col min="2" max="7" width="10" style="200" customWidth="1"/>
    <col min="8" max="16384" width="9" style="200"/>
  </cols>
  <sheetData>
    <row r="1" spans="1:10" ht="17.25">
      <c r="A1" s="199" t="s">
        <v>183</v>
      </c>
    </row>
    <row r="3" spans="1:10" ht="15" customHeight="1">
      <c r="A3" s="201" t="s">
        <v>217</v>
      </c>
    </row>
    <row r="4" spans="1:10" ht="14.25" thickBot="1"/>
    <row r="5" spans="1:10">
      <c r="B5" s="202" t="s">
        <v>1</v>
      </c>
      <c r="C5" s="203" t="s">
        <v>179</v>
      </c>
      <c r="D5" s="203" t="s">
        <v>180</v>
      </c>
      <c r="E5" s="204" t="s">
        <v>4</v>
      </c>
      <c r="F5" s="203" t="s">
        <v>5</v>
      </c>
      <c r="G5" s="205" t="s">
        <v>127</v>
      </c>
    </row>
    <row r="6" spans="1:10" ht="18.75" customHeight="1" thickBot="1">
      <c r="B6" s="231">
        <v>2000</v>
      </c>
      <c r="C6" s="232">
        <v>1.2E-2</v>
      </c>
      <c r="D6" s="232">
        <v>1.2999999999999999E-2</v>
      </c>
      <c r="E6" s="232">
        <v>0.18</v>
      </c>
      <c r="F6" s="232">
        <v>0.3</v>
      </c>
      <c r="G6" s="233">
        <v>0.15</v>
      </c>
      <c r="H6" s="207" t="s">
        <v>126</v>
      </c>
      <c r="J6" s="208" t="s">
        <v>259</v>
      </c>
    </row>
    <row r="7" spans="1:10">
      <c r="B7" s="209"/>
      <c r="C7" s="210" t="s">
        <v>14</v>
      </c>
    </row>
    <row r="8" spans="1:10" ht="15" customHeight="1" thickBot="1">
      <c r="B8" s="211" t="s">
        <v>216</v>
      </c>
    </row>
    <row r="9" spans="1:10" ht="18.75" customHeight="1" thickBot="1">
      <c r="B9" s="212">
        <f>IF(ISERR(B6*C6*D6*G6/(0.16*F6*E6)),"まず、上にすべてのデータを入力してください",B6*C6*D6*G6/(0.16*F6*E6))</f>
        <v>5.416666666666667</v>
      </c>
      <c r="C9" s="213"/>
      <c r="D9" s="214" t="s">
        <v>220</v>
      </c>
    </row>
    <row r="10" spans="1:10">
      <c r="B10" s="210" t="s">
        <v>14</v>
      </c>
    </row>
    <row r="11" spans="1:10" ht="14.25" thickBot="1">
      <c r="B11" s="215" t="s">
        <v>221</v>
      </c>
    </row>
    <row r="12" spans="1:10">
      <c r="B12" s="216" t="s">
        <v>181</v>
      </c>
      <c r="D12" s="217" t="s">
        <v>182</v>
      </c>
    </row>
    <row r="13" spans="1:10" ht="18.75" customHeight="1" thickBot="1">
      <c r="B13" s="234">
        <v>35</v>
      </c>
      <c r="C13" s="210" t="s">
        <v>52</v>
      </c>
      <c r="D13" s="287">
        <f>G6*C6*D6/(B13*0.000001*0.16)</f>
        <v>4.1785714285714288</v>
      </c>
    </row>
    <row r="15" spans="1:10" s="211" customFormat="1" ht="14.25">
      <c r="A15" s="219" t="s">
        <v>186</v>
      </c>
      <c r="C15" s="200"/>
      <c r="D15" s="200"/>
      <c r="E15" s="200"/>
      <c r="F15" s="200"/>
      <c r="G15" s="200"/>
      <c r="H15" s="200"/>
      <c r="I15" s="200"/>
    </row>
    <row r="16" spans="1:10" s="211" customFormat="1" ht="14.25" thickBot="1">
      <c r="A16" s="200"/>
      <c r="B16" s="200"/>
      <c r="C16" s="200"/>
      <c r="D16" s="200"/>
      <c r="E16" s="200"/>
      <c r="F16" s="200"/>
      <c r="G16" s="200"/>
      <c r="H16" s="200"/>
      <c r="I16" s="200"/>
    </row>
    <row r="17" spans="1:9" s="211" customFormat="1">
      <c r="A17" s="200"/>
      <c r="B17" s="202" t="s">
        <v>184</v>
      </c>
      <c r="C17" s="203" t="s">
        <v>179</v>
      </c>
      <c r="D17" s="203" t="s">
        <v>180</v>
      </c>
      <c r="E17" s="203" t="s">
        <v>5</v>
      </c>
      <c r="F17" s="203" t="s">
        <v>4</v>
      </c>
      <c r="G17" s="220" t="s">
        <v>127</v>
      </c>
      <c r="H17" s="200"/>
      <c r="I17" s="200"/>
    </row>
    <row r="18" spans="1:9" s="211" customFormat="1" ht="18.75" customHeight="1" thickBot="1">
      <c r="A18" s="200"/>
      <c r="B18" s="231">
        <v>4.4000000000000004</v>
      </c>
      <c r="C18" s="232">
        <v>1.2E-2</v>
      </c>
      <c r="D18" s="232">
        <v>1.2999999999999999E-2</v>
      </c>
      <c r="E18" s="232">
        <v>0.3</v>
      </c>
      <c r="F18" s="232">
        <v>0.18</v>
      </c>
      <c r="G18" s="233">
        <v>0.15</v>
      </c>
      <c r="H18" s="200" t="s">
        <v>126</v>
      </c>
      <c r="I18" s="200"/>
    </row>
    <row r="19" spans="1:9" s="211" customFormat="1" ht="14.25" thickBot="1">
      <c r="A19" s="200"/>
      <c r="B19" s="210" t="s">
        <v>96</v>
      </c>
      <c r="C19" s="200"/>
      <c r="D19" s="200"/>
      <c r="E19" s="200"/>
      <c r="F19" s="200"/>
      <c r="G19" s="200"/>
      <c r="H19" s="200"/>
      <c r="I19" s="200"/>
    </row>
    <row r="20" spans="1:9" s="211" customFormat="1">
      <c r="A20" s="200"/>
      <c r="B20" s="221" t="s">
        <v>185</v>
      </c>
      <c r="D20" s="206"/>
      <c r="E20" s="200"/>
      <c r="F20" s="200"/>
      <c r="G20" s="200"/>
      <c r="H20" s="200"/>
      <c r="I20" s="200"/>
    </row>
    <row r="21" spans="1:9" s="211" customFormat="1" ht="18.75" customHeight="1" thickBot="1">
      <c r="A21" s="200"/>
      <c r="B21" s="218">
        <f>0.16*E18*F18*B18/C18/D18/G18</f>
        <v>1624.6153846153848</v>
      </c>
      <c r="C21" s="200"/>
      <c r="D21" s="200"/>
      <c r="E21" s="200"/>
      <c r="F21" s="200"/>
      <c r="G21" s="200"/>
      <c r="H21" s="200"/>
      <c r="I21" s="200"/>
    </row>
    <row r="22" spans="1:9" s="211" customFormat="1">
      <c r="A22" s="200"/>
      <c r="B22" s="200"/>
      <c r="C22" s="200"/>
      <c r="D22" s="200"/>
      <c r="E22" s="200"/>
      <c r="F22" s="200"/>
      <c r="G22" s="200"/>
      <c r="H22" s="200"/>
      <c r="I22" s="200"/>
    </row>
    <row r="23" spans="1:9" ht="14.25">
      <c r="A23" s="219" t="s">
        <v>260</v>
      </c>
    </row>
    <row r="25" spans="1:9" ht="14.25" thickBot="1">
      <c r="B25" s="200" t="s">
        <v>218</v>
      </c>
    </row>
    <row r="26" spans="1:9">
      <c r="B26" s="222" t="s">
        <v>258</v>
      </c>
      <c r="C26" s="204" t="s">
        <v>32</v>
      </c>
      <c r="D26" s="205" t="s">
        <v>33</v>
      </c>
    </row>
    <row r="27" spans="1:9" ht="18.75" customHeight="1" thickBot="1">
      <c r="B27" s="231">
        <v>4.4000000000000004</v>
      </c>
      <c r="C27" s="232">
        <v>150</v>
      </c>
      <c r="D27" s="223">
        <f>B27*1000/C27</f>
        <v>29.333333333333332</v>
      </c>
      <c r="F27" s="224"/>
    </row>
    <row r="28" spans="1:9" ht="13.5" customHeight="1">
      <c r="B28" s="225" t="s">
        <v>20</v>
      </c>
      <c r="C28" s="226" t="s">
        <v>20</v>
      </c>
      <c r="F28" s="224"/>
    </row>
    <row r="30" spans="1:9" ht="18.75" customHeight="1" thickBot="1">
      <c r="B30" s="200" t="s">
        <v>211</v>
      </c>
    </row>
    <row r="31" spans="1:9">
      <c r="B31" s="202" t="s">
        <v>70</v>
      </c>
      <c r="C31" s="203" t="s">
        <v>32</v>
      </c>
      <c r="D31" s="203" t="s">
        <v>219</v>
      </c>
      <c r="E31" s="227" t="s">
        <v>256</v>
      </c>
    </row>
    <row r="32" spans="1:9" ht="18.75" customHeight="1" thickBot="1">
      <c r="B32" s="235">
        <v>100</v>
      </c>
      <c r="C32" s="236">
        <v>150</v>
      </c>
      <c r="D32" s="228">
        <f>C32*B32/1000</f>
        <v>15</v>
      </c>
      <c r="E32" s="249">
        <f>D32/1.25</f>
        <v>12</v>
      </c>
      <c r="F32" s="289" t="s">
        <v>257</v>
      </c>
    </row>
    <row r="33" spans="2:4">
      <c r="B33" s="229" t="s">
        <v>20</v>
      </c>
      <c r="C33" s="230" t="s">
        <v>20</v>
      </c>
    </row>
    <row r="35" spans="2:4" ht="14.25" thickBot="1">
      <c r="B35" s="200" t="s">
        <v>210</v>
      </c>
    </row>
    <row r="36" spans="2:4">
      <c r="B36" s="202" t="s">
        <v>71</v>
      </c>
      <c r="C36" s="203" t="s">
        <v>70</v>
      </c>
      <c r="D36" s="227" t="s">
        <v>32</v>
      </c>
    </row>
    <row r="37" spans="2:4" ht="18.75" customHeight="1" thickBot="1">
      <c r="B37" s="231">
        <v>16</v>
      </c>
      <c r="C37" s="232">
        <v>100</v>
      </c>
      <c r="D37" s="290">
        <f>B37*1000/C37</f>
        <v>160</v>
      </c>
    </row>
    <row r="38" spans="2:4">
      <c r="B38" s="229" t="s">
        <v>20</v>
      </c>
      <c r="C38" s="230" t="s">
        <v>20</v>
      </c>
    </row>
  </sheetData>
  <phoneticPr fontId="3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79998168889431442"/>
  </sheetPr>
  <dimension ref="A1:I55"/>
  <sheetViews>
    <sheetView workbookViewId="0">
      <selection activeCell="K10" sqref="K10"/>
    </sheetView>
  </sheetViews>
  <sheetFormatPr defaultRowHeight="13.5"/>
  <cols>
    <col min="1" max="1" width="7.25" style="3" customWidth="1"/>
    <col min="2" max="7" width="10.625" style="3" customWidth="1"/>
    <col min="8" max="14" width="10" style="3" customWidth="1"/>
    <col min="15" max="16384" width="9" style="3"/>
  </cols>
  <sheetData>
    <row r="1" spans="1:9" ht="21.75" customHeight="1">
      <c r="A1" s="79" t="s">
        <v>245</v>
      </c>
    </row>
    <row r="3" spans="1:9" ht="14.25">
      <c r="A3" s="14" t="s">
        <v>91</v>
      </c>
      <c r="B3" s="12" t="s">
        <v>66</v>
      </c>
    </row>
    <row r="4" spans="1:9" ht="14.25" thickBot="1"/>
    <row r="5" spans="1:9" ht="16.5" customHeight="1">
      <c r="B5" s="15" t="s">
        <v>34</v>
      </c>
      <c r="C5" s="19" t="s">
        <v>35</v>
      </c>
      <c r="D5" s="16" t="s">
        <v>32</v>
      </c>
      <c r="E5" s="178" t="s">
        <v>33</v>
      </c>
    </row>
    <row r="6" spans="1:9" ht="18.75" customHeight="1" thickBot="1">
      <c r="B6" s="21">
        <v>4</v>
      </c>
      <c r="C6" s="31">
        <v>4.5</v>
      </c>
      <c r="D6" s="31">
        <v>150</v>
      </c>
      <c r="E6" s="104">
        <f>C6*1000/D6</f>
        <v>30</v>
      </c>
      <c r="F6" s="17" t="s">
        <v>80</v>
      </c>
    </row>
    <row r="7" spans="1:9" ht="16.5" customHeight="1">
      <c r="B7" s="15" t="s">
        <v>72</v>
      </c>
      <c r="C7" s="4" t="s">
        <v>2</v>
      </c>
      <c r="D7" s="5" t="s">
        <v>3</v>
      </c>
      <c r="E7" s="6" t="s">
        <v>4</v>
      </c>
      <c r="F7" s="7" t="s">
        <v>5</v>
      </c>
    </row>
    <row r="8" spans="1:9" ht="18.75" customHeight="1" thickBot="1">
      <c r="B8" s="105">
        <f>E6</f>
        <v>30</v>
      </c>
      <c r="C8" s="33">
        <v>1.0999999999999999E-2</v>
      </c>
      <c r="D8" s="33">
        <v>1.2E-2</v>
      </c>
      <c r="E8" s="33">
        <v>0.18</v>
      </c>
      <c r="F8" s="186">
        <v>0.3</v>
      </c>
      <c r="G8" s="17" t="s">
        <v>212</v>
      </c>
    </row>
    <row r="9" spans="1:9" ht="14.25" thickBot="1">
      <c r="B9" s="36" t="s">
        <v>14</v>
      </c>
      <c r="C9" s="29" t="s">
        <v>20</v>
      </c>
      <c r="D9" s="29" t="s">
        <v>20</v>
      </c>
      <c r="E9" s="29" t="s">
        <v>20</v>
      </c>
      <c r="F9" s="17"/>
    </row>
    <row r="10" spans="1:9" ht="27" customHeight="1">
      <c r="B10" s="23" t="s">
        <v>57</v>
      </c>
      <c r="D10" s="28" t="s">
        <v>51</v>
      </c>
      <c r="F10" s="46" t="s">
        <v>77</v>
      </c>
      <c r="G10" s="23" t="s">
        <v>78</v>
      </c>
    </row>
    <row r="11" spans="1:9" ht="18.75" customHeight="1" thickBot="1">
      <c r="B11" s="99">
        <f>IF(ISERR(0.16*E8*F8*B8/(C8*D8)),"まず、上にすべてのデータを入力してください",0.16*E8*F8*B8/(C8*D8))</f>
        <v>1963.6363636363637</v>
      </c>
      <c r="C11" s="26" t="s">
        <v>52</v>
      </c>
      <c r="D11" s="34">
        <v>0.9</v>
      </c>
      <c r="E11" s="26" t="s">
        <v>52</v>
      </c>
      <c r="F11" s="100">
        <f>B11*D11</f>
        <v>1767.2727272727275</v>
      </c>
      <c r="G11" s="101">
        <f>B11*D11/100</f>
        <v>17.672727272727276</v>
      </c>
      <c r="H11" s="17" t="s">
        <v>188</v>
      </c>
      <c r="I11" s="25"/>
    </row>
    <row r="12" spans="1:9">
      <c r="B12" s="284" t="s">
        <v>56</v>
      </c>
      <c r="D12" s="29" t="s">
        <v>20</v>
      </c>
      <c r="F12" s="282" t="s">
        <v>56</v>
      </c>
      <c r="G12" s="283" t="s">
        <v>75</v>
      </c>
    </row>
    <row r="13" spans="1:9">
      <c r="D13" s="281" t="s">
        <v>246</v>
      </c>
    </row>
    <row r="14" spans="1:9" ht="14.25">
      <c r="A14" s="14" t="s">
        <v>21</v>
      </c>
      <c r="B14" s="12" t="s">
        <v>247</v>
      </c>
    </row>
    <row r="15" spans="1:9" ht="15" thickBot="1">
      <c r="A15" s="14"/>
      <c r="B15" s="12"/>
    </row>
    <row r="16" spans="1:9">
      <c r="B16" s="181" t="s">
        <v>1</v>
      </c>
      <c r="C16" s="182" t="s">
        <v>2</v>
      </c>
      <c r="D16" s="183" t="s">
        <v>3</v>
      </c>
      <c r="E16" s="180" t="s">
        <v>4</v>
      </c>
      <c r="F16" s="184" t="s">
        <v>5</v>
      </c>
    </row>
    <row r="17" spans="1:9" ht="18.75" customHeight="1" thickBot="1">
      <c r="B17" s="37">
        <v>1000</v>
      </c>
      <c r="C17" s="38">
        <v>1.0999999999999999E-2</v>
      </c>
      <c r="D17" s="38">
        <v>1.2E-2</v>
      </c>
      <c r="E17" s="38">
        <v>0.18</v>
      </c>
      <c r="F17" s="185">
        <v>0.3</v>
      </c>
      <c r="G17" s="17" t="s">
        <v>79</v>
      </c>
    </row>
    <row r="18" spans="1:9" ht="14.25" thickBot="1">
      <c r="B18" s="39" t="s">
        <v>6</v>
      </c>
    </row>
    <row r="19" spans="1:9" ht="22.5">
      <c r="B19" s="41" t="s">
        <v>11</v>
      </c>
      <c r="C19" s="176" t="s">
        <v>68</v>
      </c>
      <c r="D19" s="8" t="s">
        <v>86</v>
      </c>
      <c r="E19" s="8" t="s">
        <v>76</v>
      </c>
      <c r="F19" s="40"/>
      <c r="G19" s="46" t="s">
        <v>128</v>
      </c>
      <c r="H19" s="23" t="s">
        <v>67</v>
      </c>
      <c r="I19" s="11"/>
    </row>
    <row r="20" spans="1:9" ht="18.75" customHeight="1" thickBot="1">
      <c r="B20" s="102">
        <f>IF(ISERR(B17*C17*D17/(E17*F17*0.16)),"まず、上にすべてのデータを入力してください",B17*C17*D17/(E17*F17*0.16))</f>
        <v>15.277777777777779</v>
      </c>
      <c r="C20" s="103">
        <f>B20*1.1</f>
        <v>16.805555555555557</v>
      </c>
      <c r="D20" s="177">
        <v>150</v>
      </c>
      <c r="E20" s="101">
        <f>D20*C20/1000</f>
        <v>2.5208333333333335</v>
      </c>
      <c r="F20" s="26" t="s">
        <v>52</v>
      </c>
      <c r="G20" s="102">
        <f>E20</f>
        <v>2.5208333333333335</v>
      </c>
      <c r="H20" s="101">
        <f>G20*0.85</f>
        <v>2.1427083333333332</v>
      </c>
      <c r="I20" s="17" t="s">
        <v>188</v>
      </c>
    </row>
    <row r="21" spans="1:9">
      <c r="D21" s="13" t="s">
        <v>20</v>
      </c>
      <c r="G21" s="44" t="s">
        <v>83</v>
      </c>
      <c r="H21" s="44" t="s">
        <v>83</v>
      </c>
    </row>
    <row r="22" spans="1:9">
      <c r="D22" s="13"/>
    </row>
    <row r="23" spans="1:9" ht="14.25">
      <c r="A23" s="14" t="s">
        <v>24</v>
      </c>
      <c r="B23" s="12" t="s">
        <v>222</v>
      </c>
    </row>
    <row r="24" spans="1:9" ht="14.25" thickBot="1"/>
    <row r="25" spans="1:9" ht="16.5" customHeight="1">
      <c r="B25" s="15" t="s">
        <v>84</v>
      </c>
      <c r="C25" s="20" t="s">
        <v>49</v>
      </c>
      <c r="D25" s="45" t="s">
        <v>50</v>
      </c>
      <c r="E25" s="174" t="s">
        <v>46</v>
      </c>
      <c r="F25" s="45" t="s">
        <v>50</v>
      </c>
      <c r="G25" s="24"/>
      <c r="H25" s="11" t="s">
        <v>82</v>
      </c>
    </row>
    <row r="26" spans="1:9" ht="18.75" customHeight="1" thickBot="1">
      <c r="B26" s="21">
        <v>20</v>
      </c>
      <c r="C26" s="31">
        <v>2.8</v>
      </c>
      <c r="D26" s="104">
        <f>B26/C26</f>
        <v>7.1428571428571432</v>
      </c>
      <c r="E26" s="175">
        <v>13</v>
      </c>
      <c r="F26" s="104">
        <f>B26/C26*E26</f>
        <v>92.857142857142861</v>
      </c>
      <c r="H26" s="237" t="s">
        <v>189</v>
      </c>
    </row>
    <row r="27" spans="1:9">
      <c r="C27" s="13" t="s">
        <v>20</v>
      </c>
      <c r="E27" s="27" t="s">
        <v>20</v>
      </c>
    </row>
    <row r="28" spans="1:9" ht="14.25" thickBot="1">
      <c r="B28" s="3" t="s">
        <v>129</v>
      </c>
      <c r="C28" s="13"/>
      <c r="E28" s="18"/>
    </row>
    <row r="29" spans="1:9">
      <c r="B29" s="15" t="s">
        <v>73</v>
      </c>
      <c r="C29" s="20" t="s">
        <v>49</v>
      </c>
      <c r="D29" s="45" t="s">
        <v>74</v>
      </c>
      <c r="E29" s="18"/>
    </row>
    <row r="30" spans="1:9" ht="18.75" customHeight="1" thickBot="1">
      <c r="B30" s="22">
        <v>100</v>
      </c>
      <c r="C30" s="31">
        <v>2.8</v>
      </c>
      <c r="D30" s="104">
        <f>B30*C30/20</f>
        <v>14</v>
      </c>
      <c r="E30" s="18"/>
    </row>
    <row r="31" spans="1:9">
      <c r="B31" s="13" t="s">
        <v>20</v>
      </c>
      <c r="C31" s="13" t="s">
        <v>20</v>
      </c>
      <c r="E31" s="18"/>
    </row>
    <row r="32" spans="1:9">
      <c r="B32" s="13"/>
      <c r="C32" s="13"/>
      <c r="E32" s="18"/>
    </row>
    <row r="33" spans="1:6" ht="14.25">
      <c r="A33" s="14" t="s">
        <v>28</v>
      </c>
      <c r="B33" s="12" t="s">
        <v>125</v>
      </c>
      <c r="C33" s="17"/>
      <c r="E33" s="18"/>
    </row>
    <row r="34" spans="1:6" ht="14.25" thickBot="1"/>
    <row r="35" spans="1:6" ht="16.5" customHeight="1">
      <c r="B35" s="15" t="s">
        <v>85</v>
      </c>
      <c r="C35" s="20" t="s">
        <v>49</v>
      </c>
      <c r="D35" s="45" t="s">
        <v>50</v>
      </c>
      <c r="E35" s="174" t="s">
        <v>46</v>
      </c>
      <c r="F35" s="45" t="s">
        <v>50</v>
      </c>
    </row>
    <row r="36" spans="1:6" ht="18.75" customHeight="1" thickBot="1">
      <c r="B36" s="21">
        <v>20</v>
      </c>
      <c r="C36" s="31">
        <v>1.1000000000000001</v>
      </c>
      <c r="D36" s="104">
        <f>B36/C36</f>
        <v>18.18181818181818</v>
      </c>
      <c r="E36" s="175">
        <v>5</v>
      </c>
      <c r="F36" s="104">
        <f>B36/C36*E36</f>
        <v>90.909090909090907</v>
      </c>
    </row>
    <row r="37" spans="1:6">
      <c r="C37" s="13" t="s">
        <v>20</v>
      </c>
      <c r="E37" s="27" t="s">
        <v>20</v>
      </c>
    </row>
    <row r="38" spans="1:6" ht="14.25" thickBot="1">
      <c r="B38" s="3" t="s">
        <v>129</v>
      </c>
      <c r="C38" s="13"/>
      <c r="E38" s="27"/>
      <c r="F38" s="43" t="s">
        <v>81</v>
      </c>
    </row>
    <row r="39" spans="1:6">
      <c r="B39" s="15" t="s">
        <v>73</v>
      </c>
      <c r="C39" s="20" t="s">
        <v>49</v>
      </c>
      <c r="D39" s="45" t="s">
        <v>74</v>
      </c>
      <c r="E39" s="27"/>
      <c r="F39" s="149" t="s">
        <v>187</v>
      </c>
    </row>
    <row r="40" spans="1:6" ht="18.75" customHeight="1" thickBot="1">
      <c r="B40" s="22">
        <v>100</v>
      </c>
      <c r="C40" s="31">
        <v>1.1000000000000001</v>
      </c>
      <c r="D40" s="104">
        <f>B40*C40/20</f>
        <v>5.5000000000000009</v>
      </c>
      <c r="E40" s="27"/>
      <c r="F40" s="104">
        <f>D30+D40</f>
        <v>19.5</v>
      </c>
    </row>
    <row r="41" spans="1:6" ht="18.75" customHeight="1">
      <c r="B41" s="13" t="s">
        <v>20</v>
      </c>
      <c r="C41" s="13" t="s">
        <v>20</v>
      </c>
      <c r="D41" s="42"/>
      <c r="E41" s="27"/>
      <c r="F41" s="42"/>
    </row>
    <row r="42" spans="1:6" ht="13.5" customHeight="1">
      <c r="A42" s="14" t="s">
        <v>31</v>
      </c>
      <c r="B42" s="12" t="s">
        <v>205</v>
      </c>
    </row>
    <row r="43" spans="1:6" ht="14.25" thickBot="1"/>
    <row r="44" spans="1:6">
      <c r="B44" s="239" t="s">
        <v>196</v>
      </c>
    </row>
    <row r="45" spans="1:6" ht="18.75" customHeight="1" thickBot="1">
      <c r="B45" s="240">
        <v>120</v>
      </c>
      <c r="C45" s="17" t="s">
        <v>197</v>
      </c>
    </row>
    <row r="46" spans="1:6">
      <c r="B46" s="24" t="s">
        <v>198</v>
      </c>
      <c r="E46" s="3" t="s">
        <v>223</v>
      </c>
    </row>
    <row r="47" spans="1:6" ht="14.25" thickBot="1">
      <c r="B47" s="3" t="s">
        <v>208</v>
      </c>
      <c r="E47" s="3" t="s">
        <v>206</v>
      </c>
    </row>
    <row r="48" spans="1:6" ht="14.25" thickBot="1">
      <c r="B48" s="241" t="s">
        <v>200</v>
      </c>
      <c r="C48" s="242" t="s">
        <v>199</v>
      </c>
      <c r="E48" s="241" t="s">
        <v>207</v>
      </c>
      <c r="F48" s="242" t="s">
        <v>204</v>
      </c>
    </row>
    <row r="49" spans="2:6" ht="14.25">
      <c r="B49" s="243">
        <v>12</v>
      </c>
      <c r="C49" s="246">
        <f>$B$45/B49</f>
        <v>10</v>
      </c>
      <c r="E49" s="243">
        <v>7</v>
      </c>
      <c r="F49" s="246">
        <f>$B$45/E49</f>
        <v>17.142857142857142</v>
      </c>
    </row>
    <row r="50" spans="2:6" ht="14.25">
      <c r="B50" s="244">
        <v>13</v>
      </c>
      <c r="C50" s="246">
        <f t="shared" ref="C50:C54" si="0">$B$45/B50</f>
        <v>9.2307692307692299</v>
      </c>
      <c r="E50" s="244">
        <v>8</v>
      </c>
      <c r="F50" s="248">
        <f t="shared" ref="F50:F54" si="1">$B$45/E50</f>
        <v>15</v>
      </c>
    </row>
    <row r="51" spans="2:6" ht="14.25">
      <c r="B51" s="243">
        <v>14</v>
      </c>
      <c r="C51" s="246">
        <f t="shared" si="0"/>
        <v>8.5714285714285712</v>
      </c>
      <c r="E51" s="243">
        <v>9</v>
      </c>
      <c r="F51" s="248">
        <f t="shared" si="1"/>
        <v>13.333333333333334</v>
      </c>
    </row>
    <row r="52" spans="2:6" ht="14.25">
      <c r="B52" s="244">
        <v>15</v>
      </c>
      <c r="C52" s="246">
        <f t="shared" si="0"/>
        <v>8</v>
      </c>
      <c r="E52" s="244">
        <v>10</v>
      </c>
      <c r="F52" s="248">
        <f t="shared" si="1"/>
        <v>12</v>
      </c>
    </row>
    <row r="53" spans="2:6" ht="14.25">
      <c r="B53" s="243">
        <v>16</v>
      </c>
      <c r="C53" s="246">
        <f t="shared" si="0"/>
        <v>7.5</v>
      </c>
      <c r="E53" s="243">
        <v>11</v>
      </c>
      <c r="F53" s="248">
        <f t="shared" si="1"/>
        <v>10.909090909090908</v>
      </c>
    </row>
    <row r="54" spans="2:6" ht="15" thickBot="1">
      <c r="B54" s="245">
        <v>17</v>
      </c>
      <c r="C54" s="247">
        <f t="shared" si="0"/>
        <v>7.0588235294117645</v>
      </c>
      <c r="E54" s="245">
        <v>12</v>
      </c>
      <c r="F54" s="247">
        <f t="shared" si="1"/>
        <v>10</v>
      </c>
    </row>
    <row r="55" spans="2:6">
      <c r="B55" s="24" t="s">
        <v>201</v>
      </c>
      <c r="C55" s="24" t="s">
        <v>202</v>
      </c>
      <c r="E55" s="24" t="s">
        <v>202</v>
      </c>
      <c r="F55" s="24" t="s">
        <v>203</v>
      </c>
    </row>
  </sheetData>
  <phoneticPr fontId="2"/>
  <pageMargins left="0.62992125984251968" right="0.23622047244094491" top="0.15748031496062992" bottom="0.15748031496062992" header="0.31496062992125984" footer="0.31496062992125984"/>
  <pageSetup paperSize="9" scale="8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79998168889431442"/>
  </sheetPr>
  <dimension ref="A1:J126"/>
  <sheetViews>
    <sheetView workbookViewId="0">
      <selection activeCell="I1" sqref="I1"/>
    </sheetView>
  </sheetViews>
  <sheetFormatPr defaultRowHeight="13.5"/>
  <cols>
    <col min="1" max="1" width="9.625" style="9" customWidth="1"/>
    <col min="2" max="7" width="10.625" style="9" customWidth="1"/>
    <col min="8" max="14" width="10" style="9" customWidth="1"/>
    <col min="15" max="16384" width="9" style="9"/>
  </cols>
  <sheetData>
    <row r="1" spans="1:5" ht="20.25" customHeight="1">
      <c r="A1" s="47" t="s">
        <v>248</v>
      </c>
    </row>
    <row r="3" spans="1:5" ht="14.25">
      <c r="A3" s="48" t="s">
        <v>38</v>
      </c>
      <c r="B3" s="49" t="s">
        <v>111</v>
      </c>
    </row>
    <row r="4" spans="1:5" ht="15" customHeight="1" thickBot="1"/>
    <row r="5" spans="1:5" ht="16.5" customHeight="1">
      <c r="B5" s="50" t="s">
        <v>19</v>
      </c>
      <c r="C5" s="51" t="s">
        <v>58</v>
      </c>
      <c r="E5" s="52" t="s">
        <v>167</v>
      </c>
    </row>
    <row r="6" spans="1:5" ht="19.5" customHeight="1" thickBot="1">
      <c r="B6" s="30">
        <v>18</v>
      </c>
      <c r="C6" s="98">
        <f>3600/1089/(0.3*B6/100)</f>
        <v>61.218243036424866</v>
      </c>
    </row>
    <row r="7" spans="1:5">
      <c r="B7" s="53" t="s">
        <v>20</v>
      </c>
    </row>
    <row r="8" spans="1:5" ht="14.25" thickBot="1">
      <c r="B8" s="76" t="s">
        <v>101</v>
      </c>
    </row>
    <row r="9" spans="1:5">
      <c r="B9" s="50" t="s">
        <v>58</v>
      </c>
      <c r="C9" s="51" t="s">
        <v>19</v>
      </c>
    </row>
    <row r="10" spans="1:5" ht="19.5" customHeight="1" thickBot="1">
      <c r="B10" s="30">
        <v>60</v>
      </c>
      <c r="C10" s="98">
        <f>3600/1089/(0.3*B10/100)</f>
        <v>18.365472910927458</v>
      </c>
    </row>
    <row r="11" spans="1:5">
      <c r="B11" s="53" t="s">
        <v>20</v>
      </c>
    </row>
    <row r="13" spans="1:5" ht="14.25">
      <c r="A13" s="48" t="s">
        <v>47</v>
      </c>
      <c r="B13" s="49" t="s">
        <v>135</v>
      </c>
    </row>
    <row r="14" spans="1:5" ht="15" customHeight="1" thickBot="1"/>
    <row r="15" spans="1:5" ht="16.5" customHeight="1">
      <c r="B15" s="54" t="s">
        <v>22</v>
      </c>
      <c r="C15" s="55" t="s">
        <v>23</v>
      </c>
      <c r="E15" s="52" t="s">
        <v>168</v>
      </c>
    </row>
    <row r="16" spans="1:5" ht="19.5" customHeight="1" thickBot="1">
      <c r="B16" s="30">
        <v>24</v>
      </c>
      <c r="C16" s="98">
        <f>280/B16</f>
        <v>11.666666666666666</v>
      </c>
    </row>
    <row r="17" spans="1:8" ht="11.25" customHeight="1" thickBot="1">
      <c r="C17" s="153"/>
    </row>
    <row r="18" spans="1:8" ht="16.5" customHeight="1">
      <c r="B18" s="54" t="s">
        <v>136</v>
      </c>
      <c r="C18" s="55" t="s">
        <v>137</v>
      </c>
    </row>
    <row r="19" spans="1:8" ht="19.5" customHeight="1" thickBot="1">
      <c r="B19" s="30">
        <v>11.7</v>
      </c>
      <c r="C19" s="98">
        <f>280/B19</f>
        <v>23.931623931623932</v>
      </c>
    </row>
    <row r="20" spans="1:8" ht="13.5" customHeight="1">
      <c r="C20" s="153"/>
    </row>
    <row r="21" spans="1:8" ht="18.75" customHeight="1">
      <c r="A21" s="48" t="s">
        <v>48</v>
      </c>
      <c r="B21" s="127" t="s">
        <v>190</v>
      </c>
      <c r="C21" s="70"/>
      <c r="D21" s="70"/>
      <c r="E21" s="70"/>
      <c r="F21" s="70"/>
      <c r="G21" s="70"/>
      <c r="H21" s="70"/>
    </row>
    <row r="22" spans="1:8" ht="11.25" customHeight="1" thickBot="1"/>
    <row r="23" spans="1:8" ht="18.75" customHeight="1">
      <c r="B23" s="128" t="s">
        <v>106</v>
      </c>
      <c r="C23" s="129" t="s">
        <v>107</v>
      </c>
      <c r="E23" s="155" t="s">
        <v>138</v>
      </c>
      <c r="G23" s="135" t="s">
        <v>191</v>
      </c>
      <c r="H23" s="70"/>
    </row>
    <row r="24" spans="1:8" ht="19.5" customHeight="1" thickBot="1">
      <c r="B24" s="154">
        <v>1.17E-2</v>
      </c>
      <c r="C24" s="133">
        <v>1.2999999999999999E-2</v>
      </c>
      <c r="D24" s="137" t="s">
        <v>105</v>
      </c>
      <c r="E24" s="134">
        <f>IF(ISERROR(0.16/(B24*C24)),"-",0.16/(B24*C24))</f>
        <v>1051.939513477975</v>
      </c>
    </row>
    <row r="25" spans="1:8" ht="13.5" customHeight="1">
      <c r="B25" s="68" t="s">
        <v>98</v>
      </c>
      <c r="C25" s="68" t="s">
        <v>98</v>
      </c>
      <c r="E25" s="70" t="s">
        <v>139</v>
      </c>
    </row>
    <row r="26" spans="1:8" ht="20.25" customHeight="1" thickBot="1">
      <c r="B26" s="161" t="s">
        <v>160</v>
      </c>
      <c r="C26" s="68"/>
      <c r="E26" s="70"/>
      <c r="G26" s="70"/>
      <c r="H26" s="70"/>
    </row>
    <row r="27" spans="1:8" ht="18.75" customHeight="1">
      <c r="B27" s="157" t="s">
        <v>140</v>
      </c>
      <c r="C27" s="130" t="s">
        <v>148</v>
      </c>
      <c r="E27" s="155" t="s">
        <v>149</v>
      </c>
    </row>
    <row r="28" spans="1:8" ht="19.5" customHeight="1" thickBot="1">
      <c r="B28" s="160">
        <v>150</v>
      </c>
      <c r="C28" s="193">
        <v>3.5</v>
      </c>
      <c r="D28" s="137" t="s">
        <v>105</v>
      </c>
      <c r="E28" s="134">
        <f>IF(ISERROR(B28/E24/(C28/100)),"-",B28/E24/(C28/100))</f>
        <v>4.0741071428571427</v>
      </c>
    </row>
    <row r="29" spans="1:8" ht="18.75" customHeight="1">
      <c r="B29" s="162" t="s">
        <v>98</v>
      </c>
      <c r="C29" s="162" t="s">
        <v>98</v>
      </c>
      <c r="E29" s="70"/>
      <c r="G29" s="70"/>
      <c r="H29" s="70"/>
    </row>
    <row r="30" spans="1:8" ht="18.75" customHeight="1">
      <c r="A30" s="48" t="s">
        <v>53</v>
      </c>
      <c r="B30" s="127" t="s">
        <v>170</v>
      </c>
      <c r="C30" s="70"/>
      <c r="D30" s="70"/>
      <c r="E30" s="70"/>
      <c r="F30" s="70"/>
      <c r="G30" s="70"/>
      <c r="H30" s="70"/>
    </row>
    <row r="31" spans="1:8" ht="11.25" customHeight="1" thickBot="1"/>
    <row r="32" spans="1:8" ht="15" customHeight="1">
      <c r="B32" s="172" t="s">
        <v>144</v>
      </c>
      <c r="D32" s="157" t="s">
        <v>177</v>
      </c>
      <c r="E32" s="130" t="s">
        <v>145</v>
      </c>
    </row>
    <row r="33" spans="1:8" ht="18.75" customHeight="1" thickBot="1">
      <c r="B33" s="156" t="s">
        <v>143</v>
      </c>
      <c r="D33" s="160">
        <v>150</v>
      </c>
      <c r="E33" s="238">
        <v>13</v>
      </c>
    </row>
    <row r="34" spans="1:8" ht="13.5" customHeight="1">
      <c r="D34" s="68" t="s">
        <v>98</v>
      </c>
      <c r="E34" s="68" t="s">
        <v>98</v>
      </c>
    </row>
    <row r="35" spans="1:8" ht="13.5" customHeight="1" thickBot="1">
      <c r="B35" s="68"/>
      <c r="C35" s="68"/>
      <c r="D35" s="68"/>
    </row>
    <row r="36" spans="1:8" ht="15" customHeight="1">
      <c r="B36" s="179" t="s">
        <v>169</v>
      </c>
      <c r="D36" s="157" t="s">
        <v>177</v>
      </c>
      <c r="E36" s="130" t="s">
        <v>145</v>
      </c>
      <c r="G36" s="157" t="s">
        <v>177</v>
      </c>
      <c r="H36" s="130" t="s">
        <v>145</v>
      </c>
    </row>
    <row r="37" spans="1:8" ht="18.75" customHeight="1" thickBot="1">
      <c r="C37" s="159" t="s">
        <v>141</v>
      </c>
      <c r="D37" s="160">
        <v>130</v>
      </c>
      <c r="E37" s="134">
        <f>D33*E33/D37</f>
        <v>15</v>
      </c>
      <c r="F37" s="158" t="s">
        <v>142</v>
      </c>
      <c r="G37" s="160">
        <v>170</v>
      </c>
      <c r="H37" s="134">
        <f>D33*E33/G37</f>
        <v>11.470588235294118</v>
      </c>
    </row>
    <row r="38" spans="1:8" ht="13.5" customHeight="1">
      <c r="C38" s="68"/>
      <c r="D38" s="68" t="s">
        <v>98</v>
      </c>
      <c r="E38" s="68" t="s">
        <v>161</v>
      </c>
      <c r="F38" s="70"/>
      <c r="G38" s="68" t="s">
        <v>98</v>
      </c>
      <c r="H38" s="68" t="s">
        <v>161</v>
      </c>
    </row>
    <row r="40" spans="1:8" ht="14.25">
      <c r="A40" s="48" t="s">
        <v>61</v>
      </c>
      <c r="B40" s="49" t="s">
        <v>36</v>
      </c>
    </row>
    <row r="41" spans="1:8" ht="11.25" customHeight="1" thickBot="1"/>
    <row r="42" spans="1:8" ht="16.5" customHeight="1">
      <c r="B42" s="54" t="s">
        <v>194</v>
      </c>
      <c r="C42" s="56" t="s">
        <v>29</v>
      </c>
      <c r="D42" s="57" t="s">
        <v>26</v>
      </c>
      <c r="E42" s="58" t="s">
        <v>25</v>
      </c>
      <c r="G42" s="52" t="s">
        <v>27</v>
      </c>
    </row>
    <row r="43" spans="1:8" ht="19.5" customHeight="1" thickBot="1">
      <c r="B43" s="22">
        <v>1000</v>
      </c>
      <c r="C43" s="96">
        <f>B43/100</f>
        <v>10</v>
      </c>
      <c r="D43" s="94">
        <f>B43/991.7</f>
        <v>1.0083694665725522</v>
      </c>
      <c r="E43" s="97">
        <f>B43/9917</f>
        <v>0.10083694665725522</v>
      </c>
    </row>
    <row r="45" spans="1:8" ht="14.25">
      <c r="A45" s="48" t="s">
        <v>69</v>
      </c>
      <c r="B45" s="49" t="s">
        <v>213</v>
      </c>
    </row>
    <row r="46" spans="1:8" ht="11.25" customHeight="1" thickBot="1"/>
    <row r="47" spans="1:8" ht="16.5" customHeight="1">
      <c r="B47" s="54" t="s">
        <v>193</v>
      </c>
      <c r="C47" s="56" t="s">
        <v>194</v>
      </c>
      <c r="D47" s="57" t="s">
        <v>29</v>
      </c>
      <c r="E47" s="58" t="s">
        <v>30</v>
      </c>
      <c r="G47" s="52"/>
    </row>
    <row r="48" spans="1:8" ht="18.75" customHeight="1" thickBot="1">
      <c r="B48" s="30">
        <v>1</v>
      </c>
      <c r="C48" s="96">
        <f>B48*0.9917*1000</f>
        <v>991.7</v>
      </c>
      <c r="D48" s="94">
        <f>B48*991.7/100</f>
        <v>9.9169999999999998</v>
      </c>
      <c r="E48" s="97">
        <f>B48*991.7/10000</f>
        <v>9.9170000000000008E-2</v>
      </c>
    </row>
    <row r="49" spans="1:10" ht="13.5" customHeight="1"/>
    <row r="50" spans="1:10" ht="14.25">
      <c r="A50" s="48" t="s">
        <v>92</v>
      </c>
      <c r="B50" s="49" t="s">
        <v>174</v>
      </c>
    </row>
    <row r="51" spans="1:10" ht="11.25" customHeight="1" thickBot="1"/>
    <row r="52" spans="1:10" ht="18.75" customHeight="1">
      <c r="B52" s="189" t="s">
        <v>55</v>
      </c>
      <c r="C52" s="59" t="s">
        <v>39</v>
      </c>
      <c r="D52" s="60"/>
      <c r="E52" s="61"/>
      <c r="F52" s="61"/>
      <c r="G52" s="61"/>
      <c r="H52" s="61"/>
      <c r="I52" s="61"/>
      <c r="J52" s="61"/>
    </row>
    <row r="53" spans="1:10" ht="18.75" customHeight="1" thickBot="1">
      <c r="B53" s="190">
        <v>2000</v>
      </c>
      <c r="C53" s="35">
        <v>1000</v>
      </c>
      <c r="D53" s="62"/>
      <c r="E53" s="63"/>
      <c r="F53" s="64"/>
      <c r="G53" s="65" t="s">
        <v>87</v>
      </c>
      <c r="H53" s="66"/>
      <c r="I53" s="66"/>
      <c r="J53" s="66"/>
    </row>
    <row r="54" spans="1:10" ht="19.5" customHeight="1" thickBot="1">
      <c r="B54" s="69" t="s">
        <v>96</v>
      </c>
      <c r="C54" s="90" t="s">
        <v>88</v>
      </c>
      <c r="D54" s="89"/>
      <c r="E54" s="70"/>
      <c r="F54" s="70"/>
      <c r="G54" s="70"/>
      <c r="H54" s="70"/>
      <c r="I54" s="70"/>
      <c r="J54" s="70"/>
    </row>
    <row r="55" spans="1:10" ht="18.75" customHeight="1">
      <c r="B55" s="71" t="s">
        <v>42</v>
      </c>
      <c r="C55" s="72" t="s">
        <v>43</v>
      </c>
      <c r="D55" s="73" t="s">
        <v>41</v>
      </c>
      <c r="E55" s="71" t="s">
        <v>59</v>
      </c>
      <c r="F55" s="73" t="s">
        <v>44</v>
      </c>
      <c r="G55" s="71" t="s">
        <v>64</v>
      </c>
      <c r="H55" s="74" t="s">
        <v>63</v>
      </c>
      <c r="I55" s="70"/>
      <c r="J55" s="70"/>
    </row>
    <row r="56" spans="1:10" ht="18.75" customHeight="1" thickBot="1">
      <c r="B56" s="92">
        <f>IF(ISERROR(C53/B53),"",C53/B53*1000)</f>
        <v>500</v>
      </c>
      <c r="C56" s="93">
        <f>IF(ISERROR(C53/B53),"",C53/B53*100)</f>
        <v>50</v>
      </c>
      <c r="D56" s="194">
        <f>IF(ISERROR(C53/B53),"",C53/B53)</f>
        <v>0.5</v>
      </c>
      <c r="E56" s="195">
        <f>IF(ISERROR(C53/(B53/991.7)),"",C53/(B53/991.7))</f>
        <v>495.84999999999997</v>
      </c>
      <c r="F56" s="196">
        <f>IF(ISERROR(C53/B53*3.3),"",C53/B53*3.3)</f>
        <v>1.65</v>
      </c>
      <c r="G56" s="197">
        <f>IF(ISERROR(E56/60),"",E56/60)</f>
        <v>8.2641666666666662</v>
      </c>
      <c r="H56" s="95">
        <f>IF(ISERROR(B56/60),"",B56/60)</f>
        <v>8.3333333333333339</v>
      </c>
      <c r="I56" s="70"/>
      <c r="J56" s="70"/>
    </row>
    <row r="57" spans="1:10">
      <c r="B57" s="70" t="s">
        <v>40</v>
      </c>
      <c r="C57" s="70" t="s">
        <v>40</v>
      </c>
      <c r="D57" s="70" t="s">
        <v>40</v>
      </c>
      <c r="E57" s="70" t="s">
        <v>40</v>
      </c>
      <c r="F57" s="70" t="s">
        <v>40</v>
      </c>
      <c r="G57" s="70" t="s">
        <v>65</v>
      </c>
      <c r="H57" s="70" t="s">
        <v>65</v>
      </c>
      <c r="I57" s="70"/>
      <c r="J57" s="70"/>
    </row>
    <row r="58" spans="1:10">
      <c r="J58" s="70"/>
    </row>
    <row r="59" spans="1:10" ht="14.25">
      <c r="A59" s="48" t="s">
        <v>113</v>
      </c>
      <c r="B59" s="49" t="s">
        <v>175</v>
      </c>
    </row>
    <row r="60" spans="1:10" ht="11.25" customHeight="1" thickBot="1"/>
    <row r="61" spans="1:10" ht="18.75" customHeight="1">
      <c r="B61" s="189" t="s">
        <v>55</v>
      </c>
      <c r="C61" s="75" t="s">
        <v>62</v>
      </c>
      <c r="D61" s="73" t="s">
        <v>54</v>
      </c>
      <c r="E61" s="191" t="s">
        <v>39</v>
      </c>
    </row>
    <row r="62" spans="1:10" ht="18.75" customHeight="1" thickBot="1">
      <c r="B62" s="190">
        <v>2000</v>
      </c>
      <c r="C62" s="81">
        <v>30</v>
      </c>
      <c r="D62" s="31">
        <v>34</v>
      </c>
      <c r="E62" s="192">
        <f>C62*D62</f>
        <v>1020</v>
      </c>
    </row>
    <row r="63" spans="1:10" ht="18.75" customHeight="1">
      <c r="A63" s="67" t="s">
        <v>45</v>
      </c>
      <c r="B63" s="68" t="s">
        <v>98</v>
      </c>
      <c r="C63" s="82" t="s">
        <v>60</v>
      </c>
      <c r="D63" s="68" t="s">
        <v>98</v>
      </c>
      <c r="E63" s="70" t="s">
        <v>40</v>
      </c>
    </row>
    <row r="64" spans="1:10" ht="18.75" customHeight="1" thickBot="1">
      <c r="B64" s="69" t="s">
        <v>96</v>
      </c>
      <c r="C64" s="88" t="s">
        <v>89</v>
      </c>
      <c r="E64" s="77"/>
    </row>
    <row r="65" spans="2:8" ht="18.75" customHeight="1">
      <c r="B65" s="71" t="s">
        <v>42</v>
      </c>
      <c r="C65" s="72" t="s">
        <v>43</v>
      </c>
      <c r="D65" s="73" t="s">
        <v>41</v>
      </c>
      <c r="E65" s="71" t="s">
        <v>59</v>
      </c>
      <c r="F65" s="73" t="s">
        <v>44</v>
      </c>
      <c r="G65" s="71" t="s">
        <v>64</v>
      </c>
      <c r="H65" s="74" t="s">
        <v>63</v>
      </c>
    </row>
    <row r="66" spans="2:8" ht="18.75" customHeight="1" thickBot="1">
      <c r="B66" s="92">
        <f>IF(ISERROR(E62/B62),"",E62/B62*1000)</f>
        <v>510</v>
      </c>
      <c r="C66" s="93">
        <f>IF(ISERROR(E62/B62),"",E62/B62*100)</f>
        <v>51</v>
      </c>
      <c r="D66" s="194">
        <f>IF(ISERROR(E62/B62),"",E62/B62)</f>
        <v>0.51</v>
      </c>
      <c r="E66" s="195">
        <f>IF(ISERROR(E62/(B62/991.7)),"",E62/(B62/991.7))</f>
        <v>505.767</v>
      </c>
      <c r="F66" s="196">
        <f>IF(ISERROR(E62/B62*3.3),"",E62/B62*3.3)</f>
        <v>1.6829999999999998</v>
      </c>
      <c r="G66" s="197">
        <f>IF(ISERROR(E66/60),"",E66/60)</f>
        <v>8.4294499999999992</v>
      </c>
      <c r="H66" s="95">
        <f>IF(ISERROR(B66/60),"",B66/60)</f>
        <v>8.5</v>
      </c>
    </row>
    <row r="67" spans="2:8">
      <c r="B67" s="70" t="s">
        <v>40</v>
      </c>
      <c r="C67" s="70" t="s">
        <v>40</v>
      </c>
      <c r="D67" s="70" t="s">
        <v>40</v>
      </c>
      <c r="E67" s="70" t="s">
        <v>40</v>
      </c>
      <c r="F67" s="70" t="s">
        <v>40</v>
      </c>
      <c r="G67" s="70" t="s">
        <v>65</v>
      </c>
      <c r="H67" s="70" t="s">
        <v>65</v>
      </c>
    </row>
    <row r="69" spans="2:8" ht="14.25" thickBot="1">
      <c r="B69" s="127" t="s">
        <v>132</v>
      </c>
      <c r="C69" s="70"/>
      <c r="D69" s="70"/>
      <c r="E69" s="70"/>
      <c r="F69" s="70"/>
      <c r="G69" s="70"/>
      <c r="H69" s="70"/>
    </row>
    <row r="70" spans="2:8" ht="15" customHeight="1">
      <c r="B70" s="130" t="s">
        <v>102</v>
      </c>
      <c r="D70" s="130" t="s">
        <v>176</v>
      </c>
    </row>
    <row r="71" spans="2:8" ht="18.75" customHeight="1" thickBot="1">
      <c r="B71" s="131">
        <v>34</v>
      </c>
      <c r="C71" s="137" t="s">
        <v>105</v>
      </c>
      <c r="D71" s="132">
        <f>IF(ISERROR(E62/B71),"-",E62/B71)</f>
        <v>30</v>
      </c>
    </row>
    <row r="72" spans="2:8" ht="13.5" customHeight="1">
      <c r="B72" s="68" t="s">
        <v>98</v>
      </c>
      <c r="D72" s="70" t="s">
        <v>40</v>
      </c>
    </row>
    <row r="73" spans="2:8" ht="18.75" customHeight="1" thickBot="1">
      <c r="B73" s="127" t="s">
        <v>133</v>
      </c>
      <c r="C73" s="70"/>
      <c r="D73" s="70"/>
      <c r="E73" s="70"/>
      <c r="F73" s="70"/>
      <c r="G73" s="70"/>
      <c r="H73" s="70"/>
    </row>
    <row r="74" spans="2:8" ht="15" customHeight="1">
      <c r="B74" s="128" t="s">
        <v>131</v>
      </c>
      <c r="C74" s="151" t="s">
        <v>106</v>
      </c>
      <c r="D74" s="129" t="s">
        <v>107</v>
      </c>
      <c r="F74" s="130" t="s">
        <v>176</v>
      </c>
    </row>
    <row r="75" spans="2:8" ht="18.75" customHeight="1" thickBot="1">
      <c r="B75" s="150">
        <v>0.18</v>
      </c>
      <c r="C75" s="152">
        <v>1.17E-2</v>
      </c>
      <c r="D75" s="133">
        <v>1.2999999999999999E-2</v>
      </c>
      <c r="E75" s="137" t="s">
        <v>105</v>
      </c>
      <c r="F75" s="134">
        <f>IF(ISERROR(E62*0.16*B75*0.3/(B62*C75*D75)),"-",E62*0.16*B75*0.3/(B62*C75*D75))</f>
        <v>28.970414201183427</v>
      </c>
    </row>
    <row r="76" spans="2:8" ht="13.5" customHeight="1">
      <c r="B76" s="68" t="s">
        <v>98</v>
      </c>
      <c r="C76" s="68" t="s">
        <v>98</v>
      </c>
      <c r="D76" s="68" t="s">
        <v>98</v>
      </c>
      <c r="F76" s="70" t="s">
        <v>130</v>
      </c>
    </row>
    <row r="77" spans="2:8" ht="18.75" customHeight="1" thickBot="1">
      <c r="B77" s="127" t="s">
        <v>214</v>
      </c>
      <c r="C77" s="70"/>
      <c r="D77" s="70"/>
      <c r="E77" s="70"/>
      <c r="F77" s="70"/>
    </row>
    <row r="78" spans="2:8" ht="15" customHeight="1">
      <c r="B78" s="130" t="s">
        <v>134</v>
      </c>
      <c r="F78" s="82"/>
    </row>
    <row r="79" spans="2:8" ht="18.75" customHeight="1" thickBot="1">
      <c r="B79" s="134">
        <f>IF(ISERROR(E62*(0.3*B75))/B62*1000,"-",IF(B75=0,"-",E62*(0.3*B75)/B62*1000))</f>
        <v>27.54</v>
      </c>
      <c r="D79" s="135" t="s">
        <v>171</v>
      </c>
      <c r="F79" s="70"/>
    </row>
    <row r="80" spans="2:8" ht="15" customHeight="1">
      <c r="B80" s="70" t="s">
        <v>104</v>
      </c>
      <c r="C80" s="68"/>
      <c r="D80" s="70"/>
      <c r="F80" s="70"/>
    </row>
    <row r="81" spans="1:9">
      <c r="B81" s="70"/>
      <c r="C81" s="70"/>
      <c r="D81" s="70"/>
      <c r="E81" s="70"/>
      <c r="F81" s="70"/>
    </row>
    <row r="82" spans="1:9" ht="14.25">
      <c r="A82" s="48" t="s">
        <v>146</v>
      </c>
      <c r="B82" s="49" t="s">
        <v>100</v>
      </c>
    </row>
    <row r="83" spans="1:9" ht="11.25" customHeight="1" thickBot="1">
      <c r="A83" s="48"/>
      <c r="B83" s="49"/>
    </row>
    <row r="84" spans="1:9" ht="15" customHeight="1">
      <c r="B84" s="86" t="s">
        <v>95</v>
      </c>
      <c r="C84" s="56" t="s">
        <v>94</v>
      </c>
      <c r="D84" s="57" t="s">
        <v>99</v>
      </c>
      <c r="E84" s="87" t="s">
        <v>97</v>
      </c>
      <c r="G84" s="83" t="s">
        <v>108</v>
      </c>
    </row>
    <row r="85" spans="1:9" ht="18.75" customHeight="1" thickBot="1">
      <c r="B85" s="84">
        <v>1</v>
      </c>
      <c r="C85" s="31">
        <v>10</v>
      </c>
      <c r="D85" s="32">
        <v>50</v>
      </c>
      <c r="E85" s="91">
        <f>B85*C85/D85*1000</f>
        <v>200</v>
      </c>
      <c r="G85" s="83"/>
    </row>
    <row r="86" spans="1:9">
      <c r="B86" s="80" t="s">
        <v>93</v>
      </c>
      <c r="C86" s="53" t="s">
        <v>20</v>
      </c>
      <c r="D86" s="85" t="s">
        <v>20</v>
      </c>
      <c r="E86" s="136" t="s">
        <v>110</v>
      </c>
      <c r="G86" s="83"/>
    </row>
    <row r="87" spans="1:9">
      <c r="B87" s="80"/>
      <c r="C87" s="53"/>
      <c r="D87" s="85"/>
      <c r="G87" s="83"/>
    </row>
    <row r="88" spans="1:9" ht="14.25">
      <c r="A88" s="48" t="s">
        <v>147</v>
      </c>
      <c r="B88" s="49" t="s">
        <v>172</v>
      </c>
      <c r="G88" s="83" t="s">
        <v>123</v>
      </c>
    </row>
    <row r="89" spans="1:9" ht="15" thickBot="1">
      <c r="A89" s="48"/>
      <c r="B89" s="49"/>
    </row>
    <row r="90" spans="1:9" ht="15" customHeight="1">
      <c r="B90" s="138" t="s">
        <v>115</v>
      </c>
      <c r="C90" s="140"/>
      <c r="D90" s="139" t="s">
        <v>116</v>
      </c>
      <c r="E90" s="56" t="s">
        <v>120</v>
      </c>
      <c r="F90" s="55" t="s">
        <v>122</v>
      </c>
      <c r="H90" s="167" t="s">
        <v>157</v>
      </c>
      <c r="I90" s="168" t="s">
        <v>158</v>
      </c>
    </row>
    <row r="91" spans="1:9" ht="18.75" customHeight="1" thickBot="1">
      <c r="B91" s="142">
        <v>40</v>
      </c>
      <c r="C91" s="141" t="s">
        <v>114</v>
      </c>
      <c r="D91" s="144">
        <f>B91</f>
        <v>40</v>
      </c>
      <c r="E91" s="147">
        <f>B91* 3600/1089</f>
        <v>132.23140495867767</v>
      </c>
      <c r="F91" s="171">
        <f>B91/1000*99.17</f>
        <v>3.9668000000000001</v>
      </c>
      <c r="G91" s="83"/>
      <c r="H91" s="169">
        <v>2000</v>
      </c>
      <c r="I91" s="91">
        <f>B91/1000*H91</f>
        <v>80</v>
      </c>
    </row>
    <row r="92" spans="1:9">
      <c r="B92" s="80" t="s">
        <v>118</v>
      </c>
      <c r="C92" s="53"/>
      <c r="D92" s="70" t="s">
        <v>119</v>
      </c>
      <c r="E92" s="70" t="s">
        <v>119</v>
      </c>
      <c r="F92" s="70" t="s">
        <v>121</v>
      </c>
      <c r="G92" s="83"/>
      <c r="I92" s="80" t="s">
        <v>159</v>
      </c>
    </row>
    <row r="93" spans="1:9" ht="14.25" thickBot="1">
      <c r="B93" s="80"/>
      <c r="C93" s="53"/>
      <c r="D93" s="85"/>
      <c r="G93" s="83"/>
    </row>
    <row r="94" spans="1:9" ht="15" customHeight="1">
      <c r="B94" s="138" t="s">
        <v>115</v>
      </c>
      <c r="C94" s="140"/>
      <c r="D94" s="139" t="s">
        <v>116</v>
      </c>
      <c r="E94" s="143" t="s">
        <v>117</v>
      </c>
      <c r="F94" s="55" t="s">
        <v>124</v>
      </c>
      <c r="G94" s="83"/>
      <c r="H94" s="167" t="s">
        <v>157</v>
      </c>
      <c r="I94" s="168" t="s">
        <v>158</v>
      </c>
    </row>
    <row r="95" spans="1:9" ht="19.5" customHeight="1" thickBot="1">
      <c r="B95" s="142">
        <v>500</v>
      </c>
      <c r="C95" s="141" t="s">
        <v>114</v>
      </c>
      <c r="D95" s="145">
        <f>B95/1000</f>
        <v>0.5</v>
      </c>
      <c r="E95" s="146">
        <f>B95/1000* 3600/1089</f>
        <v>1.6528925619834711</v>
      </c>
      <c r="F95" s="148">
        <f>B95/1000*99.17</f>
        <v>49.585000000000001</v>
      </c>
      <c r="G95" s="83"/>
      <c r="H95" s="169">
        <v>50</v>
      </c>
      <c r="I95" s="170">
        <f>B95/1000*H95</f>
        <v>25</v>
      </c>
    </row>
    <row r="96" spans="1:9">
      <c r="B96" s="80"/>
      <c r="C96" s="53"/>
      <c r="D96" s="82"/>
      <c r="E96" s="82"/>
      <c r="F96" s="82"/>
      <c r="G96" s="83"/>
    </row>
    <row r="97" spans="1:6" ht="14.25">
      <c r="A97" s="48" t="s">
        <v>215</v>
      </c>
      <c r="B97" s="49" t="s">
        <v>173</v>
      </c>
    </row>
    <row r="98" spans="1:6" ht="11.25" customHeight="1" thickBot="1"/>
    <row r="99" spans="1:6" ht="18.75" customHeight="1">
      <c r="B99" s="75" t="s">
        <v>156</v>
      </c>
      <c r="C99" s="74" t="s">
        <v>150</v>
      </c>
      <c r="D99" s="66"/>
      <c r="E99" s="164" t="s">
        <v>192</v>
      </c>
      <c r="F99" s="66"/>
    </row>
    <row r="100" spans="1:6" ht="18.75" customHeight="1" thickBot="1">
      <c r="B100" s="81">
        <v>60</v>
      </c>
      <c r="C100" s="166">
        <v>22</v>
      </c>
      <c r="D100" s="66"/>
      <c r="E100" s="164"/>
      <c r="F100" s="66"/>
    </row>
    <row r="101" spans="1:6" ht="14.25" customHeight="1">
      <c r="A101" s="67"/>
      <c r="B101" s="82" t="s">
        <v>60</v>
      </c>
      <c r="C101" s="188" t="s">
        <v>96</v>
      </c>
      <c r="D101" s="163"/>
      <c r="E101" s="163"/>
      <c r="F101" s="66"/>
    </row>
    <row r="102" spans="1:6" ht="11.25" customHeight="1" thickBot="1">
      <c r="C102" s="69"/>
      <c r="E102" s="77"/>
    </row>
    <row r="103" spans="1:6" ht="18.75" customHeight="1">
      <c r="B103" s="71" t="s">
        <v>151</v>
      </c>
      <c r="C103" s="72" t="s">
        <v>152</v>
      </c>
      <c r="D103" s="73" t="s">
        <v>153</v>
      </c>
      <c r="E103" s="71" t="s">
        <v>152</v>
      </c>
      <c r="F103" s="74" t="s">
        <v>153</v>
      </c>
    </row>
    <row r="104" spans="1:6" ht="18.75" customHeight="1" thickBot="1">
      <c r="B104" s="165">
        <f>B100/12</f>
        <v>5</v>
      </c>
      <c r="C104" s="93">
        <f>B100/365*1000</f>
        <v>164.38356164383561</v>
      </c>
      <c r="D104" s="96">
        <f>B100/365/3*1000</f>
        <v>54.794520547945204</v>
      </c>
      <c r="E104" s="195">
        <f>C104*1000/C100</f>
        <v>7471.9800747197996</v>
      </c>
      <c r="F104" s="198">
        <f>D104*1000/C100</f>
        <v>2490.6600249066</v>
      </c>
    </row>
    <row r="105" spans="1:6">
      <c r="B105" s="70" t="s">
        <v>40</v>
      </c>
      <c r="C105" s="70" t="s">
        <v>154</v>
      </c>
      <c r="D105" s="70" t="s">
        <v>104</v>
      </c>
      <c r="E105" s="70" t="s">
        <v>155</v>
      </c>
      <c r="F105" s="70" t="s">
        <v>155</v>
      </c>
    </row>
    <row r="111" spans="1:6">
      <c r="A111" s="88" t="s">
        <v>112</v>
      </c>
      <c r="B111" s="49"/>
      <c r="C111" s="78"/>
      <c r="D111" s="78"/>
      <c r="E111" s="10"/>
    </row>
    <row r="112" spans="1:6">
      <c r="A112" s="9" t="s">
        <v>109</v>
      </c>
    </row>
    <row r="114" spans="1:7">
      <c r="A114" s="9" t="s">
        <v>195</v>
      </c>
    </row>
    <row r="117" spans="1:7">
      <c r="B117" s="80" t="s">
        <v>90</v>
      </c>
    </row>
    <row r="118" spans="1:7">
      <c r="G118"/>
    </row>
    <row r="126" spans="1:7">
      <c r="G126" s="65" t="s">
        <v>103</v>
      </c>
    </row>
  </sheetData>
  <phoneticPr fontId="2"/>
  <pageMargins left="0.23622047244094491" right="0.23622047244094491" top="0.19685039370078741" bottom="0.15748031496062992" header="0.31496062992125984" footer="0.31496062992125984"/>
  <pageSetup paperSize="9" orientation="portrait" horizontalDpi="4294967293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G29"/>
  <sheetViews>
    <sheetView workbookViewId="0">
      <selection activeCell="E1" sqref="E1"/>
    </sheetView>
  </sheetViews>
  <sheetFormatPr defaultRowHeight="13.5"/>
  <cols>
    <col min="1" max="1" width="11.5" style="251" customWidth="1"/>
    <col min="2" max="8" width="12.5" style="251" customWidth="1"/>
    <col min="9" max="16384" width="9" style="251"/>
  </cols>
  <sheetData>
    <row r="1" spans="1:7" ht="17.25">
      <c r="A1" s="255" t="s">
        <v>251</v>
      </c>
    </row>
    <row r="2" spans="1:7" ht="17.25">
      <c r="A2" s="255"/>
    </row>
    <row r="4" spans="1:7" ht="15" customHeight="1">
      <c r="A4" s="250" t="s">
        <v>252</v>
      </c>
    </row>
    <row r="5" spans="1:7" ht="14.25" thickBot="1"/>
    <row r="6" spans="1:7" ht="15" customHeight="1">
      <c r="B6" s="259" t="s">
        <v>224</v>
      </c>
      <c r="C6" s="260" t="s">
        <v>225</v>
      </c>
      <c r="D6" s="261" t="s">
        <v>226</v>
      </c>
      <c r="E6" s="259" t="s">
        <v>227</v>
      </c>
      <c r="F6" s="261" t="s">
        <v>228</v>
      </c>
    </row>
    <row r="7" spans="1:7" ht="22.5" customHeight="1" thickBot="1">
      <c r="A7" s="269" t="s">
        <v>262</v>
      </c>
      <c r="B7" s="263">
        <v>10</v>
      </c>
      <c r="C7" s="264">
        <v>14</v>
      </c>
      <c r="D7" s="265">
        <v>15</v>
      </c>
      <c r="E7" s="263">
        <v>3</v>
      </c>
      <c r="F7" s="265">
        <v>1</v>
      </c>
      <c r="G7" s="254" t="s">
        <v>231</v>
      </c>
    </row>
    <row r="8" spans="1:7" ht="15" customHeight="1">
      <c r="B8" s="252" t="s">
        <v>229</v>
      </c>
      <c r="C8" s="253" t="s">
        <v>230</v>
      </c>
    </row>
    <row r="9" spans="1:7" ht="22.5" customHeight="1" thickBot="1">
      <c r="A9" s="262" t="s">
        <v>263</v>
      </c>
      <c r="B9" s="266">
        <v>2</v>
      </c>
      <c r="C9" s="267">
        <v>3000</v>
      </c>
      <c r="D9" s="254" t="s">
        <v>231</v>
      </c>
    </row>
    <row r="10" spans="1:7" ht="22.5" customHeight="1" thickBot="1">
      <c r="C10" s="276" t="s">
        <v>9</v>
      </c>
    </row>
    <row r="11" spans="1:7" ht="15.75" customHeight="1" thickBot="1">
      <c r="B11" s="256" t="str">
        <f>B6</f>
        <v>窒素(%)</v>
      </c>
      <c r="C11" s="256" t="str">
        <f t="shared" ref="C11:F11" si="0">C6</f>
        <v>リン酸(%)</v>
      </c>
      <c r="D11" s="256" t="str">
        <f t="shared" si="0"/>
        <v>カリ(%)</v>
      </c>
      <c r="E11" s="256" t="str">
        <f t="shared" si="0"/>
        <v>他１(%)</v>
      </c>
      <c r="F11" s="256" t="str">
        <f t="shared" si="0"/>
        <v>他２(%)</v>
      </c>
      <c r="G11" s="251" t="s">
        <v>234</v>
      </c>
    </row>
    <row r="12" spans="1:7" ht="22.5" customHeight="1" thickBot="1">
      <c r="A12" s="285" t="s">
        <v>261</v>
      </c>
      <c r="B12" s="288">
        <f>0.2*$B$9*B7</f>
        <v>4</v>
      </c>
      <c r="C12" s="288">
        <f>0.2*$B$9*C7</f>
        <v>5.6000000000000005</v>
      </c>
      <c r="D12" s="288">
        <f t="shared" ref="D12:F12" si="1">0.2*$B$9*D7</f>
        <v>6</v>
      </c>
      <c r="E12" s="288">
        <f t="shared" si="1"/>
        <v>1.2000000000000002</v>
      </c>
      <c r="F12" s="288">
        <f t="shared" si="1"/>
        <v>0.4</v>
      </c>
      <c r="G12" s="254" t="s">
        <v>235</v>
      </c>
    </row>
    <row r="13" spans="1:7" ht="22.5" customHeight="1">
      <c r="A13" s="262" t="s">
        <v>233</v>
      </c>
      <c r="B13" s="291">
        <f>B12/$C$9*1000</f>
        <v>1.3333333333333333</v>
      </c>
      <c r="C13" s="291">
        <f t="shared" ref="C13:F13" si="2">C12/$C$9*1000</f>
        <v>1.8666666666666669</v>
      </c>
      <c r="D13" s="291">
        <f t="shared" si="2"/>
        <v>2</v>
      </c>
      <c r="E13" s="291">
        <f t="shared" si="2"/>
        <v>0.40000000000000008</v>
      </c>
      <c r="F13" s="291">
        <f t="shared" si="2"/>
        <v>0.13333333333333333</v>
      </c>
      <c r="G13" s="254" t="s">
        <v>253</v>
      </c>
    </row>
    <row r="14" spans="1:7" ht="22.5" customHeight="1">
      <c r="A14" s="262" t="s">
        <v>239</v>
      </c>
      <c r="B14" s="292">
        <f>B12/$C$9*100</f>
        <v>0.13333333333333333</v>
      </c>
      <c r="C14" s="293">
        <f t="shared" ref="C14:F14" si="3">C12/$C$9*100</f>
        <v>0.18666666666666668</v>
      </c>
      <c r="D14" s="293">
        <f t="shared" si="3"/>
        <v>0.2</v>
      </c>
      <c r="E14" s="293">
        <f t="shared" si="3"/>
        <v>4.0000000000000008E-2</v>
      </c>
      <c r="F14" s="293">
        <f t="shared" si="3"/>
        <v>1.3333333333333334E-2</v>
      </c>
      <c r="G14" s="254" t="s">
        <v>254</v>
      </c>
    </row>
    <row r="15" spans="1:7" ht="22.5" customHeight="1" thickBot="1">
      <c r="A15" s="262" t="s">
        <v>240</v>
      </c>
      <c r="B15" s="294">
        <f>B12/$C$9*1000</f>
        <v>1.3333333333333333</v>
      </c>
      <c r="C15" s="294">
        <f t="shared" ref="C15:F15" si="4">C12/$C$9*1000</f>
        <v>1.8666666666666669</v>
      </c>
      <c r="D15" s="294">
        <f t="shared" si="4"/>
        <v>2</v>
      </c>
      <c r="E15" s="294">
        <f t="shared" si="4"/>
        <v>0.40000000000000008</v>
      </c>
      <c r="F15" s="294">
        <f t="shared" si="4"/>
        <v>0.13333333333333333</v>
      </c>
      <c r="G15" s="254" t="s">
        <v>255</v>
      </c>
    </row>
    <row r="18" spans="1:7" ht="14.25">
      <c r="A18" s="250" t="s">
        <v>264</v>
      </c>
    </row>
    <row r="20" spans="1:7" ht="18" customHeight="1">
      <c r="B20" s="277" t="s">
        <v>241</v>
      </c>
    </row>
    <row r="21" spans="1:7" ht="14.25" thickBot="1">
      <c r="F21" s="251" t="s">
        <v>250</v>
      </c>
    </row>
    <row r="22" spans="1:7" ht="18.75" customHeight="1">
      <c r="B22" s="280" t="s">
        <v>236</v>
      </c>
      <c r="C22" s="257" t="s">
        <v>230</v>
      </c>
      <c r="D22" s="257" t="s">
        <v>249</v>
      </c>
      <c r="F22" s="272" t="s">
        <v>232</v>
      </c>
      <c r="G22" s="273" t="s">
        <v>238</v>
      </c>
    </row>
    <row r="23" spans="1:7" ht="22.5" customHeight="1" thickBot="1">
      <c r="B23" s="279">
        <v>0.3</v>
      </c>
      <c r="C23" s="274">
        <v>2000</v>
      </c>
      <c r="D23" s="274">
        <v>10</v>
      </c>
      <c r="E23" s="270" t="s">
        <v>237</v>
      </c>
      <c r="F23" s="271">
        <f>B23*0.01*C23</f>
        <v>6</v>
      </c>
      <c r="G23" s="271">
        <f>5*B23*0.01*C23/D23</f>
        <v>3</v>
      </c>
    </row>
    <row r="24" spans="1:7">
      <c r="G24" s="268" t="s">
        <v>244</v>
      </c>
    </row>
    <row r="25" spans="1:7" ht="14.25">
      <c r="B25" s="277" t="s">
        <v>242</v>
      </c>
    </row>
    <row r="26" spans="1:7" ht="14.25" thickBot="1">
      <c r="F26" s="251" t="s">
        <v>250</v>
      </c>
    </row>
    <row r="27" spans="1:7" ht="18.75" customHeight="1">
      <c r="B27" s="280" t="s">
        <v>243</v>
      </c>
      <c r="C27" s="257" t="s">
        <v>230</v>
      </c>
      <c r="D27" s="258" t="s">
        <v>249</v>
      </c>
      <c r="F27" s="272" t="s">
        <v>232</v>
      </c>
      <c r="G27" s="273" t="s">
        <v>238</v>
      </c>
    </row>
    <row r="28" spans="1:7" ht="22.5" customHeight="1" thickBot="1">
      <c r="B28" s="278">
        <v>6</v>
      </c>
      <c r="C28" s="274">
        <v>3000</v>
      </c>
      <c r="D28" s="275">
        <v>15</v>
      </c>
      <c r="E28" s="270" t="s">
        <v>237</v>
      </c>
      <c r="F28" s="271">
        <f>B28*0.001*C28</f>
        <v>18</v>
      </c>
      <c r="G28" s="271">
        <f>5*B28*0.001*C28/D28</f>
        <v>6</v>
      </c>
    </row>
    <row r="29" spans="1:7">
      <c r="G29" s="268" t="s">
        <v>244</v>
      </c>
    </row>
  </sheetData>
  <phoneticPr fontId="2"/>
  <pageMargins left="0.43307086614173229" right="3.937007874015748E-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5</vt:i4>
      </vt:variant>
    </vt:vector>
  </HeadingPairs>
  <TitlesOfParts>
    <vt:vector size="10" baseType="lpstr">
      <vt:lpstr>各理論値の計算</vt:lpstr>
      <vt:lpstr>種籾量の理論値</vt:lpstr>
      <vt:lpstr>付録Ⅰ</vt:lpstr>
      <vt:lpstr>付録Ⅱ</vt:lpstr>
      <vt:lpstr>付録Ⅲ</vt:lpstr>
      <vt:lpstr>各理論値の計算!Print_Area</vt:lpstr>
      <vt:lpstr>種籾量の理論値!Print_Area</vt:lpstr>
      <vt:lpstr>付録Ⅰ!Print_Area</vt:lpstr>
      <vt:lpstr>付録Ⅱ!Print_Area</vt:lpstr>
      <vt:lpstr>付録Ⅲ!Print_Area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2023-10-15T10:19:19Z</dcterms:modified>
</cp:coreProperties>
</file>