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s\kouji\■音楽関係\耳コピおたすけ Diatonic Chart\★完成形《元データ》\Version1_0\登録用データ（計算シート解説削除）\保護前\保護作業用\"/>
    </mc:Choice>
  </mc:AlternateContent>
  <workbookProtection workbookAlgorithmName="SHA-512" workbookHashValue="GSe2KTTqZiIcxe8WiZ2J4Pk35Z+hr3PT6X54WNU8byU6OZ4ymrFC40vuFclCU/0jErWlepN0J9OKhddnbK01QA==" workbookSaltValue="hAzpST3VnFaYpNxmr5xjYw==" workbookSpinCount="100000" lockStructure="1"/>
  <bookViews>
    <workbookView xWindow="36720" yWindow="0" windowWidth="10440" windowHeight="8220"/>
  </bookViews>
  <sheets>
    <sheet name="Diatonic Chart" sheetId="1" r:id="rId1"/>
    <sheet name="Key List" sheetId="4" r:id="rId2"/>
    <sheet name="CalculationSheet" sheetId="2" state="hidden" r:id="rId3"/>
  </sheets>
  <definedNames>
    <definedName name="CapoF">CalculationSheet!$AA$31</definedName>
    <definedName name="CapoList">CalculationSheet!$Z$5:$Z$16</definedName>
    <definedName name="ChordON">CalculationSheet!$AG$54</definedName>
    <definedName name="ChordTone">CalculationSheet!$D$40:$G$40</definedName>
    <definedName name="ChordToneEtc">CalculationSheet!$E$41:$G$41</definedName>
    <definedName name="DegreeNameList">CalculationSheet!$L$74:$M$85</definedName>
    <definedName name="DegreeNameList2">CalculationSheet!$AF$42:$AF$49</definedName>
    <definedName name="DiatonicScale">CalculationSheet!$D$55:$J$55</definedName>
    <definedName name="DshmEflm">CalculationSheet!$AN$14:$AN$15</definedName>
    <definedName name="FshGfl">CalculationSheet!$AN$5:$AN$6</definedName>
    <definedName name="grayout01">CalculationSheet!$I$32</definedName>
    <definedName name="grayout02">CalculationSheet!$T$14</definedName>
    <definedName name="grayout03">CalculationSheet!$CB$62</definedName>
    <definedName name="grayout04">CalculationSheet!$W$31</definedName>
    <definedName name="HPFontColor">CalculationSheet!$J$91</definedName>
    <definedName name="Key1List">CalculationSheet!$CO$68:$CO$73</definedName>
    <definedName name="key1No">CalculationSheet!$D$18</definedName>
    <definedName name="Key2List">CalculationSheet!$G$4:$G$5</definedName>
    <definedName name="Lang00">CalculationSheet!$AR$8</definedName>
    <definedName name="Lang01">CalculationSheet!$I$10</definedName>
    <definedName name="Lang02">CalculationSheet!$I$21</definedName>
    <definedName name="Lang03">CalculationSheet!$AA$19</definedName>
    <definedName name="Lang04">CalculationSheet!$AO$40</definedName>
    <definedName name="Language">CalculationSheet!$AQ$5:$AQ$6</definedName>
    <definedName name="Minorshu">CalculationSheet!$D$30</definedName>
    <definedName name="NoteList">CalculationSheet!$L$46:$M$68</definedName>
    <definedName name="PentaColorCH">CalculationSheet!$E$108:$J$108</definedName>
    <definedName name="PentaColorFB">CalculationSheet!$E$100:$J$100</definedName>
    <definedName name="PentaON">CalculationSheet!$V$8</definedName>
    <definedName name="PentaScale">CalculationSheet!$D$58:$J$58</definedName>
    <definedName name="PentaSW">CalculationSheet!$R$5:$R$6</definedName>
    <definedName name="_xlnm.Print_Area" localSheetId="0">'Diatonic Chart'!$B$2:$AC$37</definedName>
    <definedName name="_xlnm.Print_Area" localSheetId="1">'Key List'!$B$2:$AJ$36</definedName>
    <definedName name="RegtunGt1">CalculationSheet!$AI$6</definedName>
    <definedName name="RegtunGt2">CalculationSheet!$AI$7</definedName>
    <definedName name="RegtunGt3">CalculationSheet!$AI$8</definedName>
    <definedName name="RegtunGt4">CalculationSheet!$AI$9</definedName>
    <definedName name="RegtunGt5">CalculationSheet!$AI$10</definedName>
    <definedName name="RegtunGt6">CalculationSheet!$AI$11</definedName>
    <definedName name="RegtunUk1">CalculationSheet!$AJ$6</definedName>
    <definedName name="RegtunUk2">CalculationSheet!$AJ$7</definedName>
    <definedName name="RegtunUk3">CalculationSheet!$AJ$8</definedName>
    <definedName name="RegtunUk4">CalculationSheet!$AJ$9</definedName>
    <definedName name="RootColorCH">CalculationSheet!$D$105</definedName>
    <definedName name="RootColorFB">CalculationSheet!$D$97</definedName>
    <definedName name="ScaleList">CalculationSheet!$G$14:$G$16</definedName>
    <definedName name="Triads7th">CalculationSheet!$AL$40:$AL$41</definedName>
    <definedName name="TuningList">CalculationSheet!$AF$5:$AF$17</definedName>
    <definedName name="UKPmark">CalculationSheet!$BS$37:$CI$37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7" i="2" l="1"/>
  <c r="AO8" i="2" s="1"/>
  <c r="AO17" i="2" l="1"/>
  <c r="CO69" i="2" l="1"/>
  <c r="CO70" i="2"/>
  <c r="CO71" i="2"/>
  <c r="CO72" i="2"/>
  <c r="CO73" i="2"/>
  <c r="CO68" i="2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F72" i="2" l="1"/>
  <c r="BV55" i="2" l="1"/>
  <c r="BX55" i="2" s="1"/>
  <c r="BV56" i="2"/>
  <c r="BX56" i="2" s="1"/>
  <c r="BV57" i="2"/>
  <c r="BX57" i="2" s="1"/>
  <c r="BV49" i="2"/>
  <c r="BX49" i="2" s="1"/>
  <c r="BV50" i="2"/>
  <c r="BX50" i="2" s="1"/>
  <c r="BV51" i="2"/>
  <c r="BX51" i="2" s="1"/>
  <c r="BV52" i="2"/>
  <c r="BX52" i="2" s="1"/>
  <c r="BV53" i="2"/>
  <c r="BX53" i="2" s="1"/>
  <c r="BV54" i="2"/>
  <c r="BX54" i="2" s="1"/>
  <c r="BV48" i="2"/>
  <c r="BX48" i="2" s="1"/>
  <c r="BQ60" i="2"/>
  <c r="BQ61" i="2"/>
  <c r="BQ62" i="2"/>
  <c r="BQ63" i="2"/>
  <c r="BQ64" i="2"/>
  <c r="BQ65" i="2"/>
  <c r="BQ66" i="2"/>
  <c r="BQ67" i="2"/>
  <c r="BQ68" i="2"/>
  <c r="BQ69" i="2"/>
  <c r="BQ70" i="2"/>
  <c r="BQ59" i="2"/>
  <c r="BQ57" i="2"/>
  <c r="BQ56" i="2"/>
  <c r="BQ55" i="2"/>
  <c r="BQ54" i="2"/>
  <c r="BQ53" i="2"/>
  <c r="BQ52" i="2"/>
  <c r="BQ51" i="2"/>
  <c r="BQ50" i="2"/>
  <c r="BQ49" i="2"/>
  <c r="BQ48" i="2"/>
  <c r="W80" i="2"/>
  <c r="V44" i="2"/>
  <c r="V45" i="2"/>
  <c r="V46" i="2"/>
  <c r="V43" i="2"/>
  <c r="V38" i="2"/>
  <c r="V39" i="2"/>
  <c r="V40" i="2"/>
  <c r="V41" i="2"/>
  <c r="V42" i="2"/>
  <c r="V37" i="2"/>
  <c r="AT42" i="2"/>
  <c r="AA18" i="2"/>
  <c r="H9" i="2"/>
  <c r="W30" i="2" l="1"/>
  <c r="W31" i="2" s="1"/>
  <c r="AA31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X68" i="2" l="1"/>
  <c r="P18" i="1"/>
  <c r="N18" i="1"/>
  <c r="L18" i="1"/>
  <c r="J18" i="1"/>
  <c r="H18" i="1"/>
  <c r="P17" i="1"/>
  <c r="N17" i="1"/>
  <c r="L17" i="1"/>
  <c r="J17" i="1"/>
  <c r="H17" i="1"/>
  <c r="O18" i="1"/>
  <c r="M18" i="1"/>
  <c r="K18" i="1"/>
  <c r="I18" i="1"/>
  <c r="G18" i="1"/>
  <c r="O17" i="1"/>
  <c r="M17" i="1"/>
  <c r="K17" i="1"/>
  <c r="I17" i="1"/>
  <c r="G17" i="1"/>
  <c r="BU45" i="2"/>
  <c r="CB62" i="2" s="1"/>
  <c r="F18" i="1"/>
  <c r="F17" i="1"/>
  <c r="K26" i="1"/>
  <c r="U26" i="1"/>
  <c r="S26" i="1"/>
  <c r="Q26" i="1"/>
  <c r="O26" i="1"/>
  <c r="M26" i="1"/>
  <c r="U25" i="1"/>
  <c r="S25" i="1"/>
  <c r="Q25" i="1"/>
  <c r="O25" i="1"/>
  <c r="M25" i="1"/>
  <c r="T26" i="1"/>
  <c r="R26" i="1"/>
  <c r="P26" i="1"/>
  <c r="N26" i="1"/>
  <c r="L26" i="1"/>
  <c r="T25" i="1"/>
  <c r="R25" i="1"/>
  <c r="P25" i="1"/>
  <c r="N25" i="1"/>
  <c r="L25" i="1"/>
  <c r="X66" i="2"/>
  <c r="K25" i="1"/>
  <c r="X57" i="2"/>
  <c r="V79" i="2"/>
  <c r="BU44" i="2"/>
  <c r="BU60" i="2" s="1"/>
  <c r="AO16" i="2"/>
  <c r="O27" i="2" l="1"/>
  <c r="O9" i="2"/>
  <c r="N30" i="2"/>
  <c r="AM43" i="2"/>
  <c r="AM42" i="2"/>
  <c r="H19" i="2"/>
  <c r="H18" i="2"/>
  <c r="H17" i="2"/>
  <c r="H7" i="2"/>
  <c r="H6" i="2"/>
  <c r="H20" i="2"/>
  <c r="P68" i="2"/>
  <c r="O68" i="2"/>
  <c r="P67" i="2"/>
  <c r="O67" i="2"/>
  <c r="P66" i="2"/>
  <c r="O66" i="2"/>
  <c r="P65" i="2"/>
  <c r="O65" i="2"/>
  <c r="O64" i="2"/>
  <c r="P63" i="2"/>
  <c r="O63" i="2"/>
  <c r="P62" i="2"/>
  <c r="O62" i="2"/>
  <c r="P61" i="2"/>
  <c r="O61" i="2"/>
  <c r="P60" i="2"/>
  <c r="O60" i="2"/>
  <c r="O59" i="2"/>
  <c r="P58" i="2"/>
  <c r="O58" i="2"/>
  <c r="N12" i="2" l="1"/>
  <c r="AR7" i="2"/>
  <c r="J50" i="2"/>
  <c r="I50" i="2"/>
  <c r="H50" i="2"/>
  <c r="AM44" i="2"/>
  <c r="AO30" i="2"/>
  <c r="AO31" i="2"/>
  <c r="AO32" i="2"/>
  <c r="AO33" i="2"/>
  <c r="AO34" i="2"/>
  <c r="AO35" i="2"/>
  <c r="AO29" i="2"/>
  <c r="AR8" i="2" l="1"/>
  <c r="CS72" i="2" s="1"/>
  <c r="AT43" i="2"/>
  <c r="AT45" i="2"/>
  <c r="AT46" i="2"/>
  <c r="AT47" i="2"/>
  <c r="AT48" i="2"/>
  <c r="AZ59" i="2"/>
  <c r="AU59" i="2"/>
  <c r="AV59" i="2"/>
  <c r="AW59" i="2"/>
  <c r="AX59" i="2"/>
  <c r="AY59" i="2"/>
  <c r="AU60" i="2"/>
  <c r="AV60" i="2"/>
  <c r="AW60" i="2"/>
  <c r="AX60" i="2"/>
  <c r="AY60" i="2"/>
  <c r="AZ60" i="2"/>
  <c r="AU61" i="2"/>
  <c r="AV61" i="2"/>
  <c r="AW61" i="2"/>
  <c r="AX61" i="2"/>
  <c r="AY61" i="2"/>
  <c r="AZ61" i="2"/>
  <c r="AT61" i="2"/>
  <c r="AT60" i="2"/>
  <c r="AT59" i="2"/>
  <c r="AU58" i="2"/>
  <c r="AV58" i="2"/>
  <c r="AW58" i="2"/>
  <c r="AX58" i="2"/>
  <c r="AY58" i="2"/>
  <c r="AZ58" i="2"/>
  <c r="AT58" i="2"/>
  <c r="F78" i="2"/>
  <c r="BF59" i="2" s="1"/>
  <c r="J84" i="2"/>
  <c r="BJ61" i="2" s="1"/>
  <c r="AB24" i="1"/>
  <c r="AB23" i="1"/>
  <c r="AB22" i="1"/>
  <c r="AB21" i="1"/>
  <c r="CS77" i="2" l="1"/>
  <c r="CS68" i="2"/>
  <c r="BU65" i="2" s="1"/>
  <c r="CS71" i="2"/>
  <c r="BU68" i="2" s="1"/>
  <c r="CS73" i="2"/>
  <c r="BV67" i="2" s="1"/>
  <c r="CS74" i="2"/>
  <c r="CS69" i="2"/>
  <c r="BU66" i="2" s="1"/>
  <c r="CS75" i="2"/>
  <c r="CS70" i="2"/>
  <c r="BU67" i="2" s="1"/>
  <c r="CS76" i="2"/>
  <c r="BV65" i="2"/>
  <c r="BW65" i="2" s="1"/>
  <c r="BV62" i="2"/>
  <c r="BV63" i="2"/>
  <c r="AA17" i="2"/>
  <c r="CS4" i="2"/>
  <c r="CS65" i="2"/>
  <c r="BU62" i="2" s="1"/>
  <c r="BW62" i="2" s="1"/>
  <c r="CS67" i="2"/>
  <c r="BU64" i="2" s="1"/>
  <c r="CS64" i="2"/>
  <c r="CS66" i="2"/>
  <c r="BU63" i="2" s="1"/>
  <c r="BW63" i="2" s="1"/>
  <c r="AN43" i="2"/>
  <c r="AN41" i="2"/>
  <c r="AN42" i="2"/>
  <c r="AN40" i="2"/>
  <c r="AA5" i="2"/>
  <c r="I18" i="2"/>
  <c r="I15" i="2"/>
  <c r="I17" i="2"/>
  <c r="I19" i="2"/>
  <c r="I14" i="2"/>
  <c r="I16" i="2"/>
  <c r="I7" i="2"/>
  <c r="I5" i="2"/>
  <c r="I6" i="2"/>
  <c r="I4" i="2"/>
  <c r="CS41" i="2"/>
  <c r="CS43" i="2"/>
  <c r="CS45" i="2"/>
  <c r="CS47" i="2"/>
  <c r="CS49" i="2"/>
  <c r="CS51" i="2"/>
  <c r="CS53" i="2"/>
  <c r="CS55" i="2"/>
  <c r="CS57" i="2"/>
  <c r="CS59" i="2"/>
  <c r="S31" i="1" s="1"/>
  <c r="CS61" i="2"/>
  <c r="CS63" i="2"/>
  <c r="CS14" i="2"/>
  <c r="CS16" i="2"/>
  <c r="CS18" i="2"/>
  <c r="CS20" i="2"/>
  <c r="CS22" i="2"/>
  <c r="CS24" i="2"/>
  <c r="CS26" i="2"/>
  <c r="G4" i="2" s="1"/>
  <c r="G6" i="2" s="1"/>
  <c r="CS28" i="2"/>
  <c r="G14" i="2" s="1"/>
  <c r="CS30" i="2"/>
  <c r="G16" i="2" s="1"/>
  <c r="CS32" i="2"/>
  <c r="CS34" i="2"/>
  <c r="CS36" i="2"/>
  <c r="CS38" i="2"/>
  <c r="CS40" i="2"/>
  <c r="CS6" i="2"/>
  <c r="CS8" i="2"/>
  <c r="CS10" i="2"/>
  <c r="CS12" i="2"/>
  <c r="CS42" i="2"/>
  <c r="CS44" i="2"/>
  <c r="CS46" i="2"/>
  <c r="CS48" i="2"/>
  <c r="CS50" i="2"/>
  <c r="CS52" i="2"/>
  <c r="CS54" i="2"/>
  <c r="CS56" i="2"/>
  <c r="CS58" i="2"/>
  <c r="CS60" i="2"/>
  <c r="CS62" i="2"/>
  <c r="CS13" i="2"/>
  <c r="CS15" i="2"/>
  <c r="CS17" i="2"/>
  <c r="CS19" i="2"/>
  <c r="CS21" i="2"/>
  <c r="CS23" i="2"/>
  <c r="CS25" i="2"/>
  <c r="CS27" i="2"/>
  <c r="G5" i="2" s="1"/>
  <c r="G7" i="2" s="1"/>
  <c r="CS29" i="2"/>
  <c r="G15" i="2" s="1"/>
  <c r="CS31" i="2"/>
  <c r="Z5" i="2" s="1"/>
  <c r="CS33" i="2"/>
  <c r="CS35" i="2"/>
  <c r="CS37" i="2"/>
  <c r="CS39" i="2"/>
  <c r="CS5" i="2"/>
  <c r="CS7" i="2"/>
  <c r="CS9" i="2"/>
  <c r="CS11" i="2"/>
  <c r="AI41" i="2"/>
  <c r="AJ41" i="2" s="1"/>
  <c r="AG54" i="2" s="1"/>
  <c r="AI53" i="2"/>
  <c r="AI43" i="2"/>
  <c r="AI44" i="2"/>
  <c r="AI45" i="2"/>
  <c r="AI46" i="2"/>
  <c r="AI47" i="2"/>
  <c r="AI48" i="2"/>
  <c r="AI49" i="2"/>
  <c r="AI50" i="2"/>
  <c r="AI51" i="2"/>
  <c r="AI52" i="2"/>
  <c r="AI42" i="2"/>
  <c r="D17" i="2"/>
  <c r="J78" i="2"/>
  <c r="BJ59" i="2" s="1"/>
  <c r="Z17" i="2" l="1"/>
  <c r="AA19" i="2" s="1"/>
  <c r="BV68" i="2"/>
  <c r="BW68" i="2" s="1"/>
  <c r="BV64" i="2"/>
  <c r="BW64" i="2" s="1"/>
  <c r="BV66" i="2"/>
  <c r="BW66" i="2" s="1"/>
  <c r="BW67" i="2"/>
  <c r="W21" i="2"/>
  <c r="BV60" i="2"/>
  <c r="Q28" i="1" s="1"/>
  <c r="S7" i="2"/>
  <c r="E45" i="2" s="1"/>
  <c r="D75" i="2" l="1"/>
  <c r="BD58" i="2" s="1"/>
  <c r="I84" i="2"/>
  <c r="BI61" i="2" s="1"/>
  <c r="H84" i="2"/>
  <c r="BH61" i="2" s="1"/>
  <c r="G84" i="2"/>
  <c r="BG61" i="2" s="1"/>
  <c r="F84" i="2"/>
  <c r="BF61" i="2" s="1"/>
  <c r="E84" i="2"/>
  <c r="BE61" i="2" s="1"/>
  <c r="D84" i="2"/>
  <c r="BD61" i="2" s="1"/>
  <c r="J81" i="2"/>
  <c r="BJ60" i="2" s="1"/>
  <c r="I81" i="2"/>
  <c r="BI60" i="2" s="1"/>
  <c r="H81" i="2"/>
  <c r="BH60" i="2" s="1"/>
  <c r="G81" i="2"/>
  <c r="BG60" i="2" s="1"/>
  <c r="F81" i="2"/>
  <c r="BF60" i="2" s="1"/>
  <c r="E81" i="2"/>
  <c r="BE60" i="2" s="1"/>
  <c r="D81" i="2"/>
  <c r="BD60" i="2" s="1"/>
  <c r="I78" i="2"/>
  <c r="BI59" i="2" s="1"/>
  <c r="H78" i="2"/>
  <c r="BH59" i="2" s="1"/>
  <c r="G78" i="2"/>
  <c r="BG59" i="2" s="1"/>
  <c r="E78" i="2"/>
  <c r="BE59" i="2" s="1"/>
  <c r="D78" i="2"/>
  <c r="BD59" i="2" s="1"/>
  <c r="J75" i="2"/>
  <c r="BJ58" i="2" s="1"/>
  <c r="I75" i="2"/>
  <c r="BI58" i="2" s="1"/>
  <c r="H75" i="2"/>
  <c r="BH58" i="2" s="1"/>
  <c r="G75" i="2"/>
  <c r="BG58" i="2" s="1"/>
  <c r="F75" i="2"/>
  <c r="BF58" i="2" s="1"/>
  <c r="E75" i="2"/>
  <c r="BE58" i="2" s="1"/>
  <c r="E72" i="2"/>
  <c r="G72" i="2"/>
  <c r="H72" i="2"/>
  <c r="I72" i="2"/>
  <c r="J72" i="2"/>
  <c r="D72" i="2"/>
  <c r="AG6" i="2"/>
  <c r="AG7" i="2"/>
  <c r="BP60" i="2" s="1"/>
  <c r="BR60" i="2" s="1"/>
  <c r="AG8" i="2"/>
  <c r="AG9" i="2"/>
  <c r="BP62" i="2" s="1"/>
  <c r="BR62" i="2" s="1"/>
  <c r="AG10" i="2"/>
  <c r="BP63" i="2" s="1"/>
  <c r="BR63" i="2" s="1"/>
  <c r="AG11" i="2"/>
  <c r="BP64" i="2" s="1"/>
  <c r="BR64" i="2" s="1"/>
  <c r="AG12" i="2"/>
  <c r="BP65" i="2" s="1"/>
  <c r="BR65" i="2" s="1"/>
  <c r="AG13" i="2"/>
  <c r="AG14" i="2"/>
  <c r="BP67" i="2" s="1"/>
  <c r="BR67" i="2" s="1"/>
  <c r="AG15" i="2"/>
  <c r="BP68" i="2" s="1"/>
  <c r="BR68" i="2" s="1"/>
  <c r="AG16" i="2"/>
  <c r="BP69" i="2" s="1"/>
  <c r="BR69" i="2" s="1"/>
  <c r="AG17" i="2"/>
  <c r="BP70" i="2" s="1"/>
  <c r="BR70" i="2" s="1"/>
  <c r="AG5" i="2"/>
  <c r="BW49" i="2" l="1"/>
  <c r="BW55" i="2"/>
  <c r="BW53" i="2"/>
  <c r="BP66" i="2"/>
  <c r="BR66" i="2" s="1"/>
  <c r="BW54" i="2" s="1"/>
  <c r="BR50" i="2"/>
  <c r="BS50" i="2" s="1"/>
  <c r="BT50" i="2" s="1"/>
  <c r="BR51" i="2"/>
  <c r="BS51" i="2" s="1"/>
  <c r="BT51" i="2" s="1"/>
  <c r="BP61" i="2"/>
  <c r="BR61" i="2" s="1"/>
  <c r="BW51" i="2" s="1"/>
  <c r="BR56" i="2"/>
  <c r="BS56" i="2" s="1"/>
  <c r="BT56" i="2" s="1"/>
  <c r="BP59" i="2"/>
  <c r="BR59" i="2" s="1"/>
  <c r="BW56" i="2" s="1"/>
  <c r="BR49" i="2"/>
  <c r="BS49" i="2" s="1"/>
  <c r="BT49" i="2" s="1"/>
  <c r="BR54" i="2"/>
  <c r="BS54" i="2" s="1"/>
  <c r="BT54" i="2" s="1"/>
  <c r="BR52" i="2"/>
  <c r="BS52" i="2" s="1"/>
  <c r="BT52" i="2" s="1"/>
  <c r="BR57" i="2"/>
  <c r="BS57" i="2" s="1"/>
  <c r="BT57" i="2" s="1"/>
  <c r="BR55" i="2"/>
  <c r="BS55" i="2" s="1"/>
  <c r="BT55" i="2" s="1"/>
  <c r="BU55" i="2" s="1"/>
  <c r="BY55" i="2" s="1"/>
  <c r="BP26" i="2" s="1"/>
  <c r="X44" i="2" s="1"/>
  <c r="Y44" i="2" s="1"/>
  <c r="BR53" i="2"/>
  <c r="BS53" i="2" s="1"/>
  <c r="BT53" i="2" s="1"/>
  <c r="BR48" i="2"/>
  <c r="BS48" i="2" s="1"/>
  <c r="BT48" i="2" s="1"/>
  <c r="BU48" i="2" s="1"/>
  <c r="BY48" i="2" s="1"/>
  <c r="BP7" i="2" s="1"/>
  <c r="W45" i="2"/>
  <c r="W40" i="2"/>
  <c r="W38" i="2"/>
  <c r="W41" i="2"/>
  <c r="W43" i="2"/>
  <c r="W39" i="2"/>
  <c r="W46" i="2"/>
  <c r="W37" i="2"/>
  <c r="W42" i="2"/>
  <c r="W44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C84" i="2"/>
  <c r="C81" i="2"/>
  <c r="C78" i="2"/>
  <c r="C75" i="2"/>
  <c r="C72" i="2"/>
  <c r="D18" i="2"/>
  <c r="D35" i="2" s="1"/>
  <c r="X37" i="2" l="1"/>
  <c r="BW57" i="2"/>
  <c r="BZ57" i="2" s="1"/>
  <c r="CA57" i="2" s="1"/>
  <c r="CB57" i="2" s="1"/>
  <c r="BW50" i="2"/>
  <c r="BZ50" i="2" s="1"/>
  <c r="CA50" i="2" s="1"/>
  <c r="CB50" i="2" s="1"/>
  <c r="CC50" i="2" s="1"/>
  <c r="R32" i="1" s="1"/>
  <c r="BZ53" i="2"/>
  <c r="CA53" i="2" s="1"/>
  <c r="CB53" i="2" s="1"/>
  <c r="BW52" i="2"/>
  <c r="BZ52" i="2" s="1"/>
  <c r="CA52" i="2" s="1"/>
  <c r="CB52" i="2" s="1"/>
  <c r="BW48" i="2"/>
  <c r="BZ51" i="2"/>
  <c r="CA51" i="2" s="1"/>
  <c r="CB51" i="2" s="1"/>
  <c r="BZ56" i="2"/>
  <c r="CA56" i="2" s="1"/>
  <c r="CB56" i="2" s="1"/>
  <c r="BZ55" i="2"/>
  <c r="CA55" i="2" s="1"/>
  <c r="CB55" i="2" s="1"/>
  <c r="BZ54" i="2"/>
  <c r="CA54" i="2" s="1"/>
  <c r="CB54" i="2" s="1"/>
  <c r="BZ49" i="2"/>
  <c r="CA49" i="2" s="1"/>
  <c r="CB49" i="2" s="1"/>
  <c r="BU52" i="2"/>
  <c r="BY52" i="2" s="1"/>
  <c r="BP11" i="2" s="1"/>
  <c r="X41" i="2" s="1"/>
  <c r="Y41" i="2" s="1"/>
  <c r="Z41" i="2" s="1"/>
  <c r="AA41" i="2" s="1"/>
  <c r="AC41" i="2" s="1"/>
  <c r="BU49" i="2"/>
  <c r="BY49" i="2" s="1"/>
  <c r="BP8" i="2" s="1"/>
  <c r="BU50" i="2"/>
  <c r="BY50" i="2" s="1"/>
  <c r="BP9" i="2" s="1"/>
  <c r="BU53" i="2"/>
  <c r="BY53" i="2" s="1"/>
  <c r="BP12" i="2" s="1"/>
  <c r="BU57" i="2"/>
  <c r="BY57" i="2" s="1"/>
  <c r="BP28" i="2" s="1"/>
  <c r="BU54" i="2"/>
  <c r="BY54" i="2" s="1"/>
  <c r="BP25" i="2" s="1"/>
  <c r="BU56" i="2"/>
  <c r="BY56" i="2" s="1"/>
  <c r="BP27" i="2" s="1"/>
  <c r="BU51" i="2"/>
  <c r="BY51" i="2" s="1"/>
  <c r="BP10" i="2" s="1"/>
  <c r="Z44" i="2"/>
  <c r="AA44" i="2" s="1"/>
  <c r="AL6" i="2"/>
  <c r="AL7" i="2"/>
  <c r="AL8" i="2"/>
  <c r="AL9" i="2"/>
  <c r="AL10" i="2"/>
  <c r="AL5" i="2"/>
  <c r="BQ7" i="2"/>
  <c r="BQ26" i="2"/>
  <c r="Y37" i="2" l="1"/>
  <c r="CC56" i="2"/>
  <c r="U32" i="1" s="1"/>
  <c r="CC51" i="2"/>
  <c r="R33" i="1" s="1"/>
  <c r="CC49" i="2"/>
  <c r="R31" i="1" s="1"/>
  <c r="CC57" i="2"/>
  <c r="U33" i="1" s="1"/>
  <c r="CC53" i="2"/>
  <c r="R35" i="1" s="1"/>
  <c r="CC52" i="2"/>
  <c r="R34" i="1" s="1"/>
  <c r="CC55" i="2"/>
  <c r="U31" i="1" s="1"/>
  <c r="CC54" i="2"/>
  <c r="U30" i="1" s="1"/>
  <c r="BQ10" i="2"/>
  <c r="X40" i="2"/>
  <c r="Y40" i="2" s="1"/>
  <c r="Z40" i="2" s="1"/>
  <c r="AA40" i="2" s="1"/>
  <c r="AC40" i="2" s="1"/>
  <c r="BQ25" i="2"/>
  <c r="X43" i="2"/>
  <c r="Y43" i="2" s="1"/>
  <c r="Z43" i="2" s="1"/>
  <c r="AA43" i="2" s="1"/>
  <c r="AC43" i="2" s="1"/>
  <c r="BQ12" i="2"/>
  <c r="X42" i="2"/>
  <c r="Y42" i="2" s="1"/>
  <c r="Z42" i="2" s="1"/>
  <c r="AA42" i="2" s="1"/>
  <c r="AC42" i="2" s="1"/>
  <c r="BQ8" i="2"/>
  <c r="X38" i="2"/>
  <c r="Y38" i="2" s="1"/>
  <c r="Z38" i="2" s="1"/>
  <c r="AA38" i="2" s="1"/>
  <c r="AC38" i="2" s="1"/>
  <c r="BQ27" i="2"/>
  <c r="X45" i="2"/>
  <c r="Y45" i="2" s="1"/>
  <c r="Z45" i="2" s="1"/>
  <c r="AA45" i="2" s="1"/>
  <c r="AC45" i="2" s="1"/>
  <c r="BQ28" i="2"/>
  <c r="X46" i="2"/>
  <c r="Y46" i="2" s="1"/>
  <c r="Z46" i="2" s="1"/>
  <c r="AA46" i="2" s="1"/>
  <c r="AC46" i="2" s="1"/>
  <c r="BQ11" i="2"/>
  <c r="BQ9" i="2"/>
  <c r="X39" i="2"/>
  <c r="Y39" i="2" s="1"/>
  <c r="Z39" i="2" s="1"/>
  <c r="AA39" i="2" s="1"/>
  <c r="BZ48" i="2"/>
  <c r="CA48" i="2" s="1"/>
  <c r="CB48" i="2" s="1"/>
  <c r="AC44" i="2"/>
  <c r="BS35" i="2"/>
  <c r="BS37" i="2" s="1"/>
  <c r="BT35" i="2"/>
  <c r="BT37" i="2" s="1"/>
  <c r="CH35" i="2"/>
  <c r="CH37" i="2" s="1"/>
  <c r="CD35" i="2"/>
  <c r="CD37" i="2" s="1"/>
  <c r="BZ35" i="2"/>
  <c r="BZ37" i="2" s="1"/>
  <c r="BV35" i="2"/>
  <c r="BV37" i="2" s="1"/>
  <c r="CF35" i="2"/>
  <c r="CF37" i="2" s="1"/>
  <c r="CB35" i="2"/>
  <c r="CB37" i="2" s="1"/>
  <c r="BX35" i="2"/>
  <c r="BX37" i="2" s="1"/>
  <c r="CI35" i="2"/>
  <c r="CI37" i="2" s="1"/>
  <c r="CG35" i="2"/>
  <c r="CG37" i="2" s="1"/>
  <c r="CE35" i="2"/>
  <c r="CE37" i="2" s="1"/>
  <c r="CC35" i="2"/>
  <c r="CC37" i="2" s="1"/>
  <c r="CA35" i="2"/>
  <c r="CA37" i="2" s="1"/>
  <c r="BY35" i="2"/>
  <c r="BY37" i="2" s="1"/>
  <c r="BW35" i="2"/>
  <c r="BW37" i="2" s="1"/>
  <c r="BU35" i="2"/>
  <c r="BU37" i="2" s="1"/>
  <c r="X72" i="2" l="1"/>
  <c r="Z37" i="2"/>
  <c r="AA37" i="2" s="1"/>
  <c r="AC37" i="2" s="1"/>
  <c r="AB41" i="2"/>
  <c r="AB44" i="2"/>
  <c r="CC48" i="2"/>
  <c r="R30" i="1" s="1"/>
  <c r="AB43" i="2"/>
  <c r="AB45" i="2"/>
  <c r="AB42" i="2"/>
  <c r="AB46" i="2"/>
  <c r="AB40" i="2"/>
  <c r="AB39" i="2"/>
  <c r="AC39" i="2"/>
  <c r="D69" i="2"/>
  <c r="G19" i="2"/>
  <c r="E3" i="1"/>
  <c r="C24" i="1"/>
  <c r="O27" i="1"/>
  <c r="H111" i="2"/>
  <c r="S30" i="1"/>
  <c r="D112" i="2"/>
  <c r="V29" i="1"/>
  <c r="D113" i="2"/>
  <c r="D111" i="2"/>
  <c r="S33" i="1"/>
  <c r="H114" i="2"/>
  <c r="R3" i="1"/>
  <c r="N22" i="2"/>
  <c r="C20" i="1"/>
  <c r="D28" i="1"/>
  <c r="F92" i="2"/>
  <c r="L3" i="1"/>
  <c r="J28" i="1"/>
  <c r="C23" i="1"/>
  <c r="G18" i="2"/>
  <c r="S32" i="1"/>
  <c r="C28" i="1"/>
  <c r="H115" i="2"/>
  <c r="P31" i="1"/>
  <c r="P34" i="1"/>
  <c r="P32" i="1"/>
  <c r="E28" i="1"/>
  <c r="H112" i="2"/>
  <c r="J3" i="1"/>
  <c r="P30" i="1"/>
  <c r="C25" i="1"/>
  <c r="O22" i="2"/>
  <c r="H113" i="2"/>
  <c r="D115" i="2"/>
  <c r="P33" i="1"/>
  <c r="E4" i="1"/>
  <c r="D114" i="2"/>
  <c r="AL41" i="2"/>
  <c r="AL43" i="2" s="1"/>
  <c r="AL40" i="2"/>
  <c r="S35" i="1"/>
  <c r="P28" i="1"/>
  <c r="P35" i="1"/>
  <c r="AA47" i="2" l="1"/>
  <c r="X64" i="2" s="1"/>
  <c r="AB38" i="2"/>
  <c r="AC48" i="2"/>
  <c r="X55" i="2" s="1"/>
  <c r="X53" i="2" s="1"/>
  <c r="AB37" i="2"/>
  <c r="AS53" i="2"/>
  <c r="AL42" i="2"/>
  <c r="AM45" i="2" s="1"/>
  <c r="AB79" i="2" s="1"/>
  <c r="G17" i="2"/>
  <c r="H21" i="2" s="1"/>
  <c r="AU53" i="2" s="1"/>
  <c r="AB48" i="2" l="1"/>
  <c r="X62" i="2" s="1"/>
  <c r="X60" i="2" s="1"/>
  <c r="H10" i="2"/>
  <c r="H23" i="2" s="1"/>
  <c r="I21" i="2"/>
  <c r="AO40" i="2"/>
  <c r="I10" i="2"/>
  <c r="AW53" i="2"/>
  <c r="AX44" i="2" s="1"/>
  <c r="AT44" i="2" l="1"/>
  <c r="X74" i="2"/>
  <c r="X76" i="2" s="1"/>
  <c r="AB80" i="2" s="1"/>
  <c r="I32" i="2"/>
  <c r="H92" i="2"/>
  <c r="AR56" i="2"/>
  <c r="AZ56" i="2" s="1"/>
  <c r="AR27" i="2"/>
  <c r="O21" i="2"/>
  <c r="P31" i="2" s="1"/>
  <c r="O3" i="2"/>
  <c r="D60" i="2"/>
  <c r="C61" i="2" s="1"/>
  <c r="AV56" i="2" l="1"/>
  <c r="M68" i="2"/>
  <c r="M45" i="2"/>
  <c r="D30" i="2"/>
  <c r="K29" i="1"/>
  <c r="J64" i="2"/>
  <c r="D63" i="2" s="1"/>
  <c r="D61" i="2" s="1"/>
  <c r="T21" i="2"/>
  <c r="T14" i="2" s="1"/>
  <c r="AR30" i="2"/>
  <c r="AA82" i="2" s="1"/>
  <c r="M58" i="2"/>
  <c r="AQ33" i="2"/>
  <c r="Z85" i="2" s="1"/>
  <c r="AT56" i="2"/>
  <c r="AS29" i="2"/>
  <c r="AM57" i="2" s="1"/>
  <c r="J30" i="1" s="1"/>
  <c r="AQ31" i="2"/>
  <c r="Z83" i="2" s="1"/>
  <c r="M60" i="2"/>
  <c r="AY56" i="2"/>
  <c r="AS33" i="2"/>
  <c r="AM61" i="2" s="1"/>
  <c r="J34" i="1" s="1"/>
  <c r="AR33" i="2"/>
  <c r="AA85" i="2" s="1"/>
  <c r="M48" i="2"/>
  <c r="M53" i="2"/>
  <c r="M67" i="2"/>
  <c r="AU56" i="2"/>
  <c r="AX56" i="2"/>
  <c r="AS35" i="2"/>
  <c r="AM63" i="2" s="1"/>
  <c r="J36" i="1" s="1"/>
  <c r="AS32" i="2"/>
  <c r="AM60" i="2" s="1"/>
  <c r="J33" i="1" s="1"/>
  <c r="AQ32" i="2"/>
  <c r="Z84" i="2" s="1"/>
  <c r="AQ29" i="2"/>
  <c r="Z81" i="2" s="1"/>
  <c r="AR34" i="2"/>
  <c r="AA86" i="2" s="1"/>
  <c r="AQ35" i="2"/>
  <c r="Z87" i="2" s="1"/>
  <c r="M55" i="2"/>
  <c r="M62" i="2"/>
  <c r="M51" i="2"/>
  <c r="M46" i="2"/>
  <c r="AS56" i="2"/>
  <c r="BC56" i="2" s="1"/>
  <c r="AW56" i="2"/>
  <c r="BB56" i="2"/>
  <c r="BF56" i="2" s="1"/>
  <c r="AS44" i="2" s="1"/>
  <c r="P28" i="2"/>
  <c r="P30" i="2"/>
  <c r="P34" i="2"/>
  <c r="D68" i="2"/>
  <c r="P27" i="2"/>
  <c r="P25" i="2"/>
  <c r="P26" i="2"/>
  <c r="J45" i="2"/>
  <c r="P52" i="2"/>
  <c r="P64" i="2" s="1"/>
  <c r="M64" i="2" s="1"/>
  <c r="AS31" i="2"/>
  <c r="AM59" i="2" s="1"/>
  <c r="J32" i="1" s="1"/>
  <c r="AS30" i="2"/>
  <c r="AM58" i="2" s="1"/>
  <c r="J31" i="1" s="1"/>
  <c r="AS34" i="2"/>
  <c r="AM62" i="2" s="1"/>
  <c r="J35" i="1" s="1"/>
  <c r="AR35" i="2"/>
  <c r="AA87" i="2" s="1"/>
  <c r="AQ30" i="2"/>
  <c r="Z82" i="2" s="1"/>
  <c r="AQ34" i="2"/>
  <c r="Z86" i="2" s="1"/>
  <c r="AR32" i="2"/>
  <c r="AA84" i="2" s="1"/>
  <c r="AR31" i="2"/>
  <c r="AA83" i="2" s="1"/>
  <c r="AR29" i="2"/>
  <c r="AA81" i="2" s="1"/>
  <c r="M54" i="2"/>
  <c r="M49" i="2"/>
  <c r="M50" i="2"/>
  <c r="M57" i="2"/>
  <c r="M66" i="2"/>
  <c r="M63" i="2"/>
  <c r="M61" i="2"/>
  <c r="M56" i="2"/>
  <c r="M65" i="2"/>
  <c r="AP27" i="2"/>
  <c r="P47" i="2"/>
  <c r="P59" i="2" s="1"/>
  <c r="M59" i="2" s="1"/>
  <c r="P35" i="2"/>
  <c r="P29" i="2"/>
  <c r="P33" i="2"/>
  <c r="P32" i="2"/>
  <c r="P24" i="2"/>
  <c r="CA9" i="2" l="1"/>
  <c r="H116" i="2"/>
  <c r="H117" i="2" s="1"/>
  <c r="I63" i="2"/>
  <c r="I61" i="2" s="1"/>
  <c r="M47" i="2"/>
  <c r="CE27" i="2" s="1"/>
  <c r="V8" i="2"/>
  <c r="F63" i="2"/>
  <c r="F61" i="2" s="1"/>
  <c r="J63" i="2"/>
  <c r="J61" i="2" s="1"/>
  <c r="E63" i="2"/>
  <c r="E61" i="2" s="1"/>
  <c r="H63" i="2"/>
  <c r="H61" i="2" s="1"/>
  <c r="G63" i="2"/>
  <c r="G61" i="2" s="1"/>
  <c r="CC7" i="2"/>
  <c r="CF27" i="2"/>
  <c r="I85" i="2"/>
  <c r="P22" i="2"/>
  <c r="S3" i="1" s="1"/>
  <c r="H76" i="2"/>
  <c r="I79" i="2"/>
  <c r="CA8" i="2"/>
  <c r="CA27" i="2"/>
  <c r="BR27" i="2"/>
  <c r="CN8" i="2"/>
  <c r="BY9" i="2"/>
  <c r="CC8" i="2"/>
  <c r="CA11" i="2"/>
  <c r="CD12" i="2"/>
  <c r="CI28" i="2"/>
  <c r="CB10" i="2"/>
  <c r="BS8" i="2"/>
  <c r="BU25" i="2"/>
  <c r="CN12" i="2"/>
  <c r="BW11" i="2"/>
  <c r="CG25" i="2"/>
  <c r="CI9" i="2"/>
  <c r="CD27" i="2"/>
  <c r="CM9" i="2"/>
  <c r="CK11" i="2"/>
  <c r="CA28" i="2"/>
  <c r="BU27" i="2"/>
  <c r="CI25" i="2"/>
  <c r="BR10" i="2"/>
  <c r="BJ56" i="2"/>
  <c r="J85" i="2"/>
  <c r="BY25" i="2"/>
  <c r="CI8" i="2"/>
  <c r="BE56" i="2"/>
  <c r="AS43" i="2" s="1"/>
  <c r="CB8" i="2"/>
  <c r="CG8" i="2"/>
  <c r="BW25" i="2"/>
  <c r="BU8" i="2"/>
  <c r="BT27" i="2"/>
  <c r="CD10" i="2"/>
  <c r="BL44" i="2"/>
  <c r="BL56" i="2" s="1"/>
  <c r="BH56" i="2"/>
  <c r="BI56" i="2"/>
  <c r="CB12" i="2"/>
  <c r="CN10" i="2"/>
  <c r="CB7" i="2"/>
  <c r="CI11" i="2"/>
  <c r="BW28" i="2"/>
  <c r="BW9" i="2"/>
  <c r="CN7" i="2"/>
  <c r="BZ26" i="2"/>
  <c r="BY7" i="2"/>
  <c r="CL12" i="2"/>
  <c r="J76" i="2"/>
  <c r="J82" i="2"/>
  <c r="BW8" i="2"/>
  <c r="CM11" i="2"/>
  <c r="D116" i="2"/>
  <c r="D117" i="2" s="1"/>
  <c r="BG56" i="2"/>
  <c r="AS45" i="2" s="1"/>
  <c r="BD56" i="2"/>
  <c r="AS42" i="2" s="1"/>
  <c r="CB26" i="2"/>
  <c r="BY11" i="2"/>
  <c r="BY28" i="2"/>
  <c r="CK9" i="2"/>
  <c r="H82" i="2"/>
  <c r="BR12" i="2"/>
  <c r="BL47" i="2"/>
  <c r="BL59" i="2" s="1"/>
  <c r="I76" i="2"/>
  <c r="BL50" i="2"/>
  <c r="BL48" i="2"/>
  <c r="BL60" i="2" s="1"/>
  <c r="BL40" i="2"/>
  <c r="BL52" i="2" s="1"/>
  <c r="BL41" i="2"/>
  <c r="BL53" i="2" s="1"/>
  <c r="BL45" i="2"/>
  <c r="BL57" i="2" s="1"/>
  <c r="BY27" i="2"/>
  <c r="BX9" i="2"/>
  <c r="CK12" i="2"/>
  <c r="CK7" i="2"/>
  <c r="BL39" i="2"/>
  <c r="BL42" i="2"/>
  <c r="BL54" i="2" s="1"/>
  <c r="BL46" i="2"/>
  <c r="BL58" i="2" s="1"/>
  <c r="BL49" i="2"/>
  <c r="BL61" i="2" s="1"/>
  <c r="BL43" i="2"/>
  <c r="BL55" i="2" s="1"/>
  <c r="CE26" i="2"/>
  <c r="BX28" i="2"/>
  <c r="BY10" i="2"/>
  <c r="BY12" i="2"/>
  <c r="CK10" i="2"/>
  <c r="BZ12" i="2"/>
  <c r="CL10" i="2"/>
  <c r="CN11" i="2"/>
  <c r="CM7" i="2"/>
  <c r="CA10" i="2"/>
  <c r="H68" i="2"/>
  <c r="I54" i="2" s="1"/>
  <c r="BZ7" i="2"/>
  <c r="CL7" i="2"/>
  <c r="BZ25" i="2"/>
  <c r="CB11" i="2"/>
  <c r="CM12" i="2"/>
  <c r="CA12" i="2"/>
  <c r="CM10" i="2"/>
  <c r="H79" i="2"/>
  <c r="CC9" i="2"/>
  <c r="BZ11" i="2"/>
  <c r="CC25" i="2"/>
  <c r="CA25" i="2"/>
  <c r="CC28" i="2"/>
  <c r="CH8" i="2"/>
  <c r="I82" i="2"/>
  <c r="CC12" i="2"/>
  <c r="BV25" i="2"/>
  <c r="BZ8" i="2"/>
  <c r="CK8" i="2"/>
  <c r="BY8" i="2"/>
  <c r="CC11" i="2"/>
  <c r="CC26" i="2"/>
  <c r="CL11" i="2"/>
  <c r="BZ28" i="2"/>
  <c r="CH27" i="2"/>
  <c r="BV27" i="2"/>
  <c r="BZ27" i="2"/>
  <c r="M52" i="2"/>
  <c r="BX27" i="2" s="1"/>
  <c r="BU11" i="2"/>
  <c r="CG11" i="2"/>
  <c r="CB27" i="2"/>
  <c r="BZ10" i="2"/>
  <c r="CB28" i="2"/>
  <c r="CJ8" i="2"/>
  <c r="CB9" i="2"/>
  <c r="CN9" i="2"/>
  <c r="BV11" i="2"/>
  <c r="CA7" i="2"/>
  <c r="CH11" i="2"/>
  <c r="CC27" i="2"/>
  <c r="BY26" i="2"/>
  <c r="CG27" i="2"/>
  <c r="BS10" i="2"/>
  <c r="BS12" i="2"/>
  <c r="H85" i="2"/>
  <c r="D85" i="2"/>
  <c r="CF8" i="2"/>
  <c r="CC10" i="2"/>
  <c r="CA26" i="2"/>
  <c r="CH25" i="2"/>
  <c r="CJ9" i="2"/>
  <c r="BT8" i="2"/>
  <c r="CL8" i="2"/>
  <c r="CB25" i="2"/>
  <c r="BX25" i="2"/>
  <c r="CL9" i="2"/>
  <c r="BZ9" i="2"/>
  <c r="BV8" i="2"/>
  <c r="J79" i="2"/>
  <c r="BR26" i="2"/>
  <c r="BT10" i="2"/>
  <c r="CM8" i="2"/>
  <c r="G82" i="2"/>
  <c r="CD26" i="2" l="1"/>
  <c r="CE10" i="2"/>
  <c r="CD7" i="2"/>
  <c r="BR7" i="2"/>
  <c r="F76" i="2"/>
  <c r="CE12" i="2"/>
  <c r="BW27" i="2"/>
  <c r="BS26" i="2"/>
  <c r="CI27" i="2"/>
  <c r="CG10" i="2"/>
  <c r="BU10" i="2"/>
  <c r="BX8" i="2"/>
  <c r="CE8" i="2"/>
  <c r="BS27" i="2"/>
  <c r="AS46" i="2"/>
  <c r="AS48" i="2"/>
  <c r="AS47" i="2"/>
  <c r="CF28" i="2"/>
  <c r="BT28" i="2"/>
  <c r="CI26" i="2"/>
  <c r="BT9" i="2"/>
  <c r="CD11" i="2"/>
  <c r="BW12" i="2"/>
  <c r="BW7" i="2"/>
  <c r="BW26" i="2"/>
  <c r="CF9" i="2"/>
  <c r="CI7" i="2"/>
  <c r="BR11" i="2"/>
  <c r="CD25" i="2"/>
  <c r="CI12" i="2"/>
  <c r="BR25" i="2"/>
  <c r="BR8" i="2"/>
  <c r="CE11" i="2"/>
  <c r="CJ12" i="2"/>
  <c r="BU9" i="2"/>
  <c r="BU28" i="2"/>
  <c r="BS25" i="2"/>
  <c r="BX12" i="2"/>
  <c r="CG28" i="2"/>
  <c r="CG9" i="2"/>
  <c r="BS11" i="2"/>
  <c r="D82" i="2"/>
  <c r="D79" i="2"/>
  <c r="D76" i="2"/>
  <c r="CE7" i="2"/>
  <c r="BS7" i="2"/>
  <c r="CH28" i="2"/>
  <c r="CH9" i="2"/>
  <c r="BV9" i="2"/>
  <c r="CE25" i="2"/>
  <c r="CF10" i="2"/>
  <c r="BX26" i="2"/>
  <c r="BX11" i="2"/>
  <c r="BX7" i="2"/>
  <c r="CJ7" i="2"/>
  <c r="CJ11" i="2"/>
  <c r="BT26" i="2"/>
  <c r="BS28" i="2"/>
  <c r="CD8" i="2"/>
  <c r="BS9" i="2"/>
  <c r="BV26" i="2"/>
  <c r="CE28" i="2"/>
  <c r="F82" i="2"/>
  <c r="F85" i="2"/>
  <c r="F79" i="2"/>
  <c r="E85" i="2"/>
  <c r="E79" i="2"/>
  <c r="E76" i="2"/>
  <c r="E82" i="2"/>
  <c r="G85" i="2"/>
  <c r="G76" i="2"/>
  <c r="G79" i="2"/>
  <c r="I55" i="2"/>
  <c r="AM24" i="2" s="1"/>
  <c r="H55" i="2"/>
  <c r="J8" i="1" s="1"/>
  <c r="BX10" i="2"/>
  <c r="CE9" i="2"/>
  <c r="CH26" i="2"/>
  <c r="CJ10" i="2"/>
  <c r="BT25" i="2"/>
  <c r="CF11" i="2"/>
  <c r="CF25" i="2"/>
  <c r="BT11" i="2"/>
  <c r="BV28" i="2"/>
  <c r="BU7" i="2"/>
  <c r="BU26" i="2"/>
  <c r="CG12" i="2"/>
  <c r="BU12" i="2"/>
  <c r="BW10" i="2"/>
  <c r="CD28" i="2"/>
  <c r="CG26" i="2"/>
  <c r="CG7" i="2"/>
  <c r="BR28" i="2"/>
  <c r="CI10" i="2"/>
  <c r="CD9" i="2"/>
  <c r="BR9" i="2"/>
  <c r="CF12" i="2"/>
  <c r="BT7" i="2"/>
  <c r="BT12" i="2"/>
  <c r="CF7" i="2"/>
  <c r="BD43" i="2"/>
  <c r="J55" i="2"/>
  <c r="AN24" i="2" s="1"/>
  <c r="J54" i="2"/>
  <c r="L7" i="1" s="1"/>
  <c r="BC48" i="2"/>
  <c r="H54" i="2"/>
  <c r="AG33" i="2" s="1"/>
  <c r="F54" i="2"/>
  <c r="H7" i="1" s="1"/>
  <c r="BD42" i="2"/>
  <c r="BC43" i="2"/>
  <c r="G54" i="2"/>
  <c r="I7" i="1" s="1"/>
  <c r="D54" i="2"/>
  <c r="F7" i="1" s="1"/>
  <c r="E54" i="2"/>
  <c r="G7" i="1" s="1"/>
  <c r="BD46" i="2"/>
  <c r="BL51" i="2"/>
  <c r="BE45" i="2" s="1"/>
  <c r="BF42" i="2"/>
  <c r="BC46" i="2"/>
  <c r="BE43" i="2"/>
  <c r="BC47" i="2"/>
  <c r="BV10" i="2"/>
  <c r="CH12" i="2"/>
  <c r="CH7" i="2"/>
  <c r="BV12" i="2"/>
  <c r="CF26" i="2"/>
  <c r="BV7" i="2"/>
  <c r="CH10" i="2"/>
  <c r="K7" i="1"/>
  <c r="AG34" i="2"/>
  <c r="BD45" i="2" l="1"/>
  <c r="BC42" i="2"/>
  <c r="BE42" i="2"/>
  <c r="BC44" i="2"/>
  <c r="BD44" i="2"/>
  <c r="BC45" i="2"/>
  <c r="BE44" i="2"/>
  <c r="D55" i="2"/>
  <c r="D105" i="2" s="1"/>
  <c r="AH34" i="2"/>
  <c r="AP34" i="2" s="1"/>
  <c r="U86" i="2" s="1"/>
  <c r="V86" i="2" s="1"/>
  <c r="F55" i="2"/>
  <c r="H8" i="1" s="1"/>
  <c r="E55" i="2"/>
  <c r="G8" i="1" s="1"/>
  <c r="G55" i="2"/>
  <c r="G58" i="2" s="1"/>
  <c r="G108" i="2" s="1"/>
  <c r="K8" i="1"/>
  <c r="AT24" i="2"/>
  <c r="I58" i="2"/>
  <c r="I108" i="2" s="1"/>
  <c r="BD47" i="2"/>
  <c r="AZ47" i="2" s="1"/>
  <c r="AU47" i="2" s="1"/>
  <c r="L8" i="1"/>
  <c r="AL24" i="2"/>
  <c r="H58" i="2"/>
  <c r="H108" i="2" s="1"/>
  <c r="BF48" i="2"/>
  <c r="AG32" i="2"/>
  <c r="AF46" i="2" s="1"/>
  <c r="J58" i="2"/>
  <c r="J108" i="2" s="1"/>
  <c r="AZ43" i="2"/>
  <c r="AU43" i="2" s="1"/>
  <c r="AG31" i="2"/>
  <c r="AG35" i="2"/>
  <c r="AF49" i="2" s="1"/>
  <c r="AG30" i="2"/>
  <c r="AZ42" i="2"/>
  <c r="BE47" i="2"/>
  <c r="AG29" i="2"/>
  <c r="BE48" i="2"/>
  <c r="BF46" i="2"/>
  <c r="J7" i="1"/>
  <c r="BF43" i="2"/>
  <c r="BF45" i="2"/>
  <c r="BE46" i="2"/>
  <c r="BF44" i="2"/>
  <c r="BD48" i="2"/>
  <c r="AZ48" i="2" s="1"/>
  <c r="AU48" i="2" s="1"/>
  <c r="AZ46" i="2"/>
  <c r="AU46" i="2" s="1"/>
  <c r="AI33" i="2" s="1"/>
  <c r="AJ61" i="2" s="1"/>
  <c r="G34" i="1" s="1"/>
  <c r="BF47" i="2"/>
  <c r="AH35" i="2"/>
  <c r="AF47" i="2"/>
  <c r="AF61" i="2"/>
  <c r="C34" i="1" s="1"/>
  <c r="AF62" i="2"/>
  <c r="C35" i="1" s="1"/>
  <c r="AF48" i="2"/>
  <c r="AZ44" i="2" l="1"/>
  <c r="AU44" i="2" s="1"/>
  <c r="AZ45" i="2"/>
  <c r="AU45" i="2" s="1"/>
  <c r="AI32" i="2" s="1"/>
  <c r="AJ60" i="2" s="1"/>
  <c r="G33" i="1" s="1"/>
  <c r="AI62" i="2"/>
  <c r="F35" i="1" s="1"/>
  <c r="F58" i="2"/>
  <c r="F108" i="2" s="1"/>
  <c r="H118" i="2"/>
  <c r="H119" i="2" s="1"/>
  <c r="C27" i="1" s="1"/>
  <c r="D118" i="2"/>
  <c r="D119" i="2" s="1"/>
  <c r="F6" i="1" s="1"/>
  <c r="AH24" i="2"/>
  <c r="AO24" i="2" s="1"/>
  <c r="BA42" i="2"/>
  <c r="AV42" i="2" s="1"/>
  <c r="AF43" i="2"/>
  <c r="AH33" i="2"/>
  <c r="AP33" i="2" s="1"/>
  <c r="U85" i="2" s="1"/>
  <c r="V85" i="2" s="1"/>
  <c r="W85" i="2" s="1"/>
  <c r="AJ24" i="2"/>
  <c r="AH31" i="2" s="1"/>
  <c r="AI59" i="2" s="1"/>
  <c r="F32" i="1" s="1"/>
  <c r="E58" i="2"/>
  <c r="E108" i="2" s="1"/>
  <c r="D58" i="2"/>
  <c r="E92" i="2" s="1"/>
  <c r="F8" i="1"/>
  <c r="AK24" i="2"/>
  <c r="I8" i="1"/>
  <c r="AI24" i="2"/>
  <c r="W86" i="2"/>
  <c r="AH29" i="2"/>
  <c r="AP29" i="2" s="1"/>
  <c r="AN29" i="2" s="1"/>
  <c r="AP35" i="2"/>
  <c r="BA47" i="2"/>
  <c r="AV47" i="2" s="1"/>
  <c r="AS24" i="2"/>
  <c r="AI31" i="2"/>
  <c r="AJ59" i="2" s="1"/>
  <c r="G32" i="1" s="1"/>
  <c r="AF60" i="2"/>
  <c r="C33" i="1" s="1"/>
  <c r="AF59" i="2"/>
  <c r="C32" i="1" s="1"/>
  <c r="BA44" i="2"/>
  <c r="AV44" i="2" s="1"/>
  <c r="AJ31" i="2" s="1"/>
  <c r="AK59" i="2" s="1"/>
  <c r="H32" i="1" s="1"/>
  <c r="BA43" i="2"/>
  <c r="AV43" i="2" s="1"/>
  <c r="AJ30" i="2" s="1"/>
  <c r="AK58" i="2" s="1"/>
  <c r="H31" i="1" s="1"/>
  <c r="AF57" i="2"/>
  <c r="C30" i="1" s="1"/>
  <c r="BA48" i="2"/>
  <c r="AV48" i="2" s="1"/>
  <c r="AF45" i="2"/>
  <c r="AI63" i="2"/>
  <c r="F36" i="1" s="1"/>
  <c r="AF44" i="2"/>
  <c r="AF63" i="2"/>
  <c r="C36" i="1" s="1"/>
  <c r="AF58" i="2"/>
  <c r="C31" i="1" s="1"/>
  <c r="AU42" i="2"/>
  <c r="BA46" i="2"/>
  <c r="AM34" i="2"/>
  <c r="AG62" i="2" s="1"/>
  <c r="D35" i="1" s="1"/>
  <c r="AN34" i="2"/>
  <c r="AH62" i="2" s="1"/>
  <c r="E35" i="1" s="1"/>
  <c r="BA45" i="2" l="1"/>
  <c r="AI61" i="2"/>
  <c r="F34" i="1" s="1"/>
  <c r="AM33" i="2"/>
  <c r="AG61" i="2" s="1"/>
  <c r="D34" i="1" s="1"/>
  <c r="AN33" i="2"/>
  <c r="AH61" i="2" s="1"/>
  <c r="E34" i="1" s="1"/>
  <c r="AJ29" i="2"/>
  <c r="AK57" i="2" s="1"/>
  <c r="H30" i="1" s="1"/>
  <c r="BB42" i="2"/>
  <c r="AR24" i="2"/>
  <c r="AJ35" i="2" s="1"/>
  <c r="AK63" i="2" s="1"/>
  <c r="H36" i="1" s="1"/>
  <c r="AQ24" i="2"/>
  <c r="AJ34" i="2" s="1"/>
  <c r="AK62" i="2" s="1"/>
  <c r="H35" i="1" s="1"/>
  <c r="AI34" i="2"/>
  <c r="AJ62" i="2" s="1"/>
  <c r="G35" i="1" s="1"/>
  <c r="AH57" i="2"/>
  <c r="E30" i="1" s="1"/>
  <c r="AI29" i="2"/>
  <c r="AJ57" i="2" s="1"/>
  <c r="G30" i="1" s="1"/>
  <c r="AK32" i="2"/>
  <c r="AL60" i="2" s="1"/>
  <c r="I33" i="1" s="1"/>
  <c r="AH32" i="2"/>
  <c r="AI60" i="2" s="1"/>
  <c r="F33" i="1" s="1"/>
  <c r="AI30" i="2"/>
  <c r="AJ58" i="2" s="1"/>
  <c r="G31" i="1" s="1"/>
  <c r="AH30" i="2"/>
  <c r="AM52" i="2" s="1"/>
  <c r="D50" i="2" s="1"/>
  <c r="H46" i="2" s="1"/>
  <c r="J91" i="2" s="1"/>
  <c r="AP24" i="2"/>
  <c r="AJ32" i="2"/>
  <c r="AK60" i="2" s="1"/>
  <c r="H33" i="1" s="1"/>
  <c r="X85" i="2"/>
  <c r="Y85" i="2" s="1"/>
  <c r="X86" i="2"/>
  <c r="Y86" i="2" s="1"/>
  <c r="AP31" i="2"/>
  <c r="U83" i="2" s="1"/>
  <c r="V83" i="2" s="1"/>
  <c r="AI57" i="2"/>
  <c r="F30" i="1" s="1"/>
  <c r="AM35" i="2"/>
  <c r="AG63" i="2" s="1"/>
  <c r="D36" i="1" s="1"/>
  <c r="U87" i="2"/>
  <c r="V87" i="2" s="1"/>
  <c r="W87" i="2" s="1"/>
  <c r="AM29" i="2"/>
  <c r="U81" i="2"/>
  <c r="AN35" i="2"/>
  <c r="AH63" i="2" s="1"/>
  <c r="E36" i="1" s="1"/>
  <c r="BB47" i="2"/>
  <c r="AW47" i="2" s="1"/>
  <c r="AK34" i="2" s="1"/>
  <c r="AL62" i="2" s="1"/>
  <c r="I35" i="1" s="1"/>
  <c r="BB48" i="2"/>
  <c r="AW48" i="2" s="1"/>
  <c r="AK35" i="2" s="1"/>
  <c r="AL63" i="2" s="1"/>
  <c r="I36" i="1" s="1"/>
  <c r="BB43" i="2"/>
  <c r="AW43" i="2" s="1"/>
  <c r="AK30" i="2" s="1"/>
  <c r="BB44" i="2"/>
  <c r="AW44" i="2" s="1"/>
  <c r="AV46" i="2"/>
  <c r="BB46" i="2"/>
  <c r="AW46" i="2" s="1"/>
  <c r="AV45" i="2" l="1"/>
  <c r="BB45" i="2"/>
  <c r="AW45" i="2" s="1"/>
  <c r="AM31" i="2"/>
  <c r="AG59" i="2" s="1"/>
  <c r="D32" i="1" s="1"/>
  <c r="AK33" i="2"/>
  <c r="AL61" i="2" s="1"/>
  <c r="I34" i="1" s="1"/>
  <c r="V81" i="2"/>
  <c r="AI35" i="2"/>
  <c r="AJ63" i="2" s="1"/>
  <c r="G36" i="1" s="1"/>
  <c r="AW42" i="2"/>
  <c r="AG57" i="2"/>
  <c r="AP32" i="2"/>
  <c r="U84" i="2" s="1"/>
  <c r="V84" i="2" s="1"/>
  <c r="AN52" i="2"/>
  <c r="E50" i="2" s="1"/>
  <c r="E47" i="2" s="1"/>
  <c r="E97" i="2" s="1"/>
  <c r="D100" i="2"/>
  <c r="E100" i="2"/>
  <c r="AJ33" i="2"/>
  <c r="AK61" i="2" s="1"/>
  <c r="H34" i="1" s="1"/>
  <c r="AK31" i="2"/>
  <c r="AL59" i="2" s="1"/>
  <c r="I32" i="1" s="1"/>
  <c r="AI58" i="2"/>
  <c r="F31" i="1" s="1"/>
  <c r="AP30" i="2"/>
  <c r="AO52" i="2"/>
  <c r="AB85" i="2"/>
  <c r="K34" i="1" s="1"/>
  <c r="AB86" i="2"/>
  <c r="K35" i="1" s="1"/>
  <c r="J100" i="2"/>
  <c r="J47" i="2"/>
  <c r="J97" i="2" s="1"/>
  <c r="D47" i="2"/>
  <c r="H47" i="2"/>
  <c r="H97" i="2" s="1"/>
  <c r="I100" i="2"/>
  <c r="F100" i="2"/>
  <c r="I47" i="2"/>
  <c r="I97" i="2" s="1"/>
  <c r="G100" i="2"/>
  <c r="H100" i="2"/>
  <c r="X87" i="2"/>
  <c r="AL58" i="2"/>
  <c r="W83" i="2"/>
  <c r="AN31" i="2"/>
  <c r="AH59" i="2" s="1"/>
  <c r="E32" i="1" s="1"/>
  <c r="AP52" i="2" l="1"/>
  <c r="G50" i="2" s="1"/>
  <c r="G47" i="2" s="1"/>
  <c r="G97" i="2" s="1"/>
  <c r="AN32" i="2"/>
  <c r="AH60" i="2" s="1"/>
  <c r="E33" i="1" s="1"/>
  <c r="W81" i="2"/>
  <c r="Y87" i="2"/>
  <c r="AB87" i="2" s="1"/>
  <c r="AK29" i="2"/>
  <c r="I31" i="1"/>
  <c r="F50" i="2"/>
  <c r="F47" i="2" s="1"/>
  <c r="CM15" i="2" s="1"/>
  <c r="Z12" i="1" s="1"/>
  <c r="D30" i="1"/>
  <c r="AM32" i="2"/>
  <c r="AG60" i="2" s="1"/>
  <c r="D33" i="1" s="1"/>
  <c r="D40" i="2"/>
  <c r="CC14" i="2"/>
  <c r="AP45" i="2"/>
  <c r="U82" i="2"/>
  <c r="AM30" i="2"/>
  <c r="AN30" i="2"/>
  <c r="D97" i="2"/>
  <c r="X83" i="2"/>
  <c r="Y83" i="2" s="1"/>
  <c r="W84" i="2"/>
  <c r="E40" i="2"/>
  <c r="E41" i="2" s="1"/>
  <c r="G40" i="2" l="1"/>
  <c r="G41" i="2" s="1"/>
  <c r="AP46" i="2"/>
  <c r="BV31" i="2"/>
  <c r="N22" i="1" s="1"/>
  <c r="BS14" i="2"/>
  <c r="F11" i="1" s="1"/>
  <c r="BR33" i="2"/>
  <c r="J24" i="1" s="1"/>
  <c r="BW19" i="2"/>
  <c r="J16" i="1" s="1"/>
  <c r="CH16" i="2"/>
  <c r="U13" i="1" s="1"/>
  <c r="CD15" i="2"/>
  <c r="Q12" i="1" s="1"/>
  <c r="BV19" i="2"/>
  <c r="I16" i="1" s="1"/>
  <c r="CB19" i="2"/>
  <c r="O16" i="1" s="1"/>
  <c r="CD18" i="2"/>
  <c r="Q15" i="1" s="1"/>
  <c r="CE14" i="2"/>
  <c r="R11" i="1" s="1"/>
  <c r="CD33" i="2"/>
  <c r="V24" i="1" s="1"/>
  <c r="CE16" i="2"/>
  <c r="R13" i="1" s="1"/>
  <c r="CH14" i="2"/>
  <c r="U11" i="1" s="1"/>
  <c r="BU19" i="2"/>
  <c r="H16" i="1" s="1"/>
  <c r="CE33" i="2"/>
  <c r="W24" i="1" s="1"/>
  <c r="CM16" i="2"/>
  <c r="Z13" i="1" s="1"/>
  <c r="BZ17" i="2"/>
  <c r="M14" i="1" s="1"/>
  <c r="CC30" i="2"/>
  <c r="U21" i="1" s="1"/>
  <c r="CB14" i="2"/>
  <c r="O11" i="1" s="1"/>
  <c r="F97" i="2"/>
  <c r="BX18" i="2"/>
  <c r="K15" i="1" s="1"/>
  <c r="CF30" i="2"/>
  <c r="X21" i="1" s="1"/>
  <c r="BT14" i="2"/>
  <c r="G11" i="1" s="1"/>
  <c r="CJ18" i="2"/>
  <c r="W15" i="1" s="1"/>
  <c r="BU14" i="2"/>
  <c r="H11" i="1" s="1"/>
  <c r="CH19" i="2"/>
  <c r="U16" i="1" s="1"/>
  <c r="CF17" i="2"/>
  <c r="S14" i="1" s="1"/>
  <c r="BT30" i="2"/>
  <c r="L21" i="1" s="1"/>
  <c r="BR16" i="2"/>
  <c r="E13" i="1" s="1"/>
  <c r="BX14" i="2"/>
  <c r="K11" i="1" s="1"/>
  <c r="CG19" i="2"/>
  <c r="T16" i="1" s="1"/>
  <c r="BY16" i="2"/>
  <c r="L13" i="1" s="1"/>
  <c r="CN17" i="2"/>
  <c r="AA14" i="1" s="1"/>
  <c r="BZ30" i="2"/>
  <c r="R21" i="1" s="1"/>
  <c r="CN15" i="2"/>
  <c r="AA12" i="1" s="1"/>
  <c r="CI14" i="2"/>
  <c r="V11" i="1" s="1"/>
  <c r="CE32" i="2"/>
  <c r="W23" i="1" s="1"/>
  <c r="BU16" i="2"/>
  <c r="H13" i="1" s="1"/>
  <c r="CC33" i="2"/>
  <c r="U24" i="1" s="1"/>
  <c r="F40" i="2"/>
  <c r="F41" i="2" s="1"/>
  <c r="BV16" i="2"/>
  <c r="I13" i="1" s="1"/>
  <c r="BT31" i="2"/>
  <c r="L22" i="1" s="1"/>
  <c r="CH31" i="2"/>
  <c r="Z22" i="1" s="1"/>
  <c r="BU31" i="2"/>
  <c r="M22" i="1" s="1"/>
  <c r="CI17" i="2"/>
  <c r="V14" i="1" s="1"/>
  <c r="CF31" i="2"/>
  <c r="X22" i="1" s="1"/>
  <c r="BX31" i="2"/>
  <c r="P22" i="1" s="1"/>
  <c r="BS16" i="2"/>
  <c r="F13" i="1" s="1"/>
  <c r="CF18" i="2"/>
  <c r="S15" i="1" s="1"/>
  <c r="BW17" i="2"/>
  <c r="J14" i="1" s="1"/>
  <c r="CF19" i="2"/>
  <c r="S16" i="1" s="1"/>
  <c r="BV14" i="2"/>
  <c r="I11" i="1" s="1"/>
  <c r="CH33" i="2"/>
  <c r="Z24" i="1" s="1"/>
  <c r="CJ14" i="2"/>
  <c r="W11" i="1" s="1"/>
  <c r="BX17" i="2"/>
  <c r="K14" i="1" s="1"/>
  <c r="BV33" i="2"/>
  <c r="N24" i="1" s="1"/>
  <c r="CG14" i="2"/>
  <c r="BV17" i="2"/>
  <c r="I14" i="1" s="1"/>
  <c r="CE30" i="2"/>
  <c r="W21" i="1" s="1"/>
  <c r="BS33" i="2"/>
  <c r="K24" i="1" s="1"/>
  <c r="CJ17" i="2"/>
  <c r="W14" i="1" s="1"/>
  <c r="CD16" i="2"/>
  <c r="Q13" i="1" s="1"/>
  <c r="CH17" i="2"/>
  <c r="U14" i="1" s="1"/>
  <c r="CE15" i="2"/>
  <c r="R12" i="1" s="1"/>
  <c r="CG15" i="2"/>
  <c r="T12" i="1" s="1"/>
  <c r="CL19" i="2"/>
  <c r="Y16" i="1" s="1"/>
  <c r="BT33" i="2"/>
  <c r="L24" i="1" s="1"/>
  <c r="BZ15" i="2"/>
  <c r="M12" i="1" s="1"/>
  <c r="BS19" i="2"/>
  <c r="F16" i="1" s="1"/>
  <c r="CD32" i="2"/>
  <c r="V23" i="1" s="1"/>
  <c r="CK16" i="2"/>
  <c r="X13" i="1" s="1"/>
  <c r="BZ19" i="2"/>
  <c r="M16" i="1" s="1"/>
  <c r="CH18" i="2"/>
  <c r="U15" i="1" s="1"/>
  <c r="BU15" i="2"/>
  <c r="H12" i="1" s="1"/>
  <c r="CM19" i="2"/>
  <c r="Z16" i="1" s="1"/>
  <c r="CC15" i="2"/>
  <c r="P12" i="1" s="1"/>
  <c r="CK19" i="2"/>
  <c r="X16" i="1" s="1"/>
  <c r="BY31" i="2"/>
  <c r="Q22" i="1" s="1"/>
  <c r="BR14" i="2"/>
  <c r="E11" i="1" s="1"/>
  <c r="CI31" i="2"/>
  <c r="AA22" i="1" s="1"/>
  <c r="CM14" i="2"/>
  <c r="Z11" i="1" s="1"/>
  <c r="BS32" i="2"/>
  <c r="K23" i="1" s="1"/>
  <c r="CD31" i="2"/>
  <c r="V22" i="1" s="1"/>
  <c r="BR15" i="2"/>
  <c r="E12" i="1" s="1"/>
  <c r="CJ19" i="2"/>
  <c r="W16" i="1" s="1"/>
  <c r="BS15" i="2"/>
  <c r="F12" i="1" s="1"/>
  <c r="CI15" i="2"/>
  <c r="V12" i="1" s="1"/>
  <c r="BY14" i="2"/>
  <c r="L11" i="1" s="1"/>
  <c r="CI19" i="2"/>
  <c r="V16" i="1" s="1"/>
  <c r="BX33" i="2"/>
  <c r="P24" i="1" s="1"/>
  <c r="CL14" i="2"/>
  <c r="Y11" i="1" s="1"/>
  <c r="BZ32" i="2"/>
  <c r="R23" i="1" s="1"/>
  <c r="BZ16" i="2"/>
  <c r="M13" i="1" s="1"/>
  <c r="CN19" i="2"/>
  <c r="AA16" i="1" s="1"/>
  <c r="CA16" i="2"/>
  <c r="N13" i="1" s="1"/>
  <c r="CF33" i="2"/>
  <c r="X24" i="1" s="1"/>
  <c r="BY15" i="2"/>
  <c r="L12" i="1" s="1"/>
  <c r="CH30" i="2"/>
  <c r="Z21" i="1" s="1"/>
  <c r="CK18" i="2"/>
  <c r="X15" i="1" s="1"/>
  <c r="BR19" i="2"/>
  <c r="E16" i="1" s="1"/>
  <c r="CN18" i="2"/>
  <c r="AA15" i="1" s="1"/>
  <c r="BU18" i="2"/>
  <c r="H15" i="1" s="1"/>
  <c r="BT17" i="2"/>
  <c r="G14" i="1" s="1"/>
  <c r="BT18" i="2"/>
  <c r="G15" i="1" s="1"/>
  <c r="CG31" i="2"/>
  <c r="Y22" i="1" s="1"/>
  <c r="BT19" i="2"/>
  <c r="G16" i="1" s="1"/>
  <c r="CF14" i="2"/>
  <c r="S11" i="1" s="1"/>
  <c r="CA15" i="2"/>
  <c r="N12" i="1" s="1"/>
  <c r="CD19" i="2"/>
  <c r="Q16" i="1" s="1"/>
  <c r="CG30" i="2"/>
  <c r="Y21" i="1" s="1"/>
  <c r="CI30" i="2"/>
  <c r="AA21" i="1" s="1"/>
  <c r="CD17" i="2"/>
  <c r="Q14" i="1" s="1"/>
  <c r="BW16" i="2"/>
  <c r="J13" i="1" s="1"/>
  <c r="CB31" i="2"/>
  <c r="T22" i="1" s="1"/>
  <c r="BW14" i="2"/>
  <c r="J11" i="1" s="1"/>
  <c r="BX16" i="2"/>
  <c r="K13" i="1" s="1"/>
  <c r="BW32" i="2"/>
  <c r="O23" i="1" s="1"/>
  <c r="CK17" i="2"/>
  <c r="X14" i="1" s="1"/>
  <c r="CG16" i="2"/>
  <c r="T13" i="1" s="1"/>
  <c r="CM17" i="2"/>
  <c r="Z14" i="1" s="1"/>
  <c r="CH15" i="2"/>
  <c r="U12" i="1" s="1"/>
  <c r="CC31" i="2"/>
  <c r="U22" i="1" s="1"/>
  <c r="BX32" i="2"/>
  <c r="P23" i="1" s="1"/>
  <c r="CB33" i="2"/>
  <c r="T24" i="1" s="1"/>
  <c r="CC32" i="2"/>
  <c r="U23" i="1" s="1"/>
  <c r="CB30" i="2"/>
  <c r="T21" i="1" s="1"/>
  <c r="CE17" i="2"/>
  <c r="R14" i="1" s="1"/>
  <c r="CA18" i="2"/>
  <c r="N15" i="1" s="1"/>
  <c r="BW18" i="2"/>
  <c r="J15" i="1" s="1"/>
  <c r="BU32" i="2"/>
  <c r="M23" i="1" s="1"/>
  <c r="BW30" i="2"/>
  <c r="O21" i="1" s="1"/>
  <c r="BW33" i="2"/>
  <c r="O24" i="1" s="1"/>
  <c r="CM18" i="2"/>
  <c r="Z15" i="1" s="1"/>
  <c r="CD14" i="2"/>
  <c r="Q11" i="1" s="1"/>
  <c r="BY32" i="2"/>
  <c r="Q23" i="1" s="1"/>
  <c r="CK14" i="2"/>
  <c r="X11" i="1" s="1"/>
  <c r="BY19" i="2"/>
  <c r="L16" i="1" s="1"/>
  <c r="CA17" i="2"/>
  <c r="N14" i="1" s="1"/>
  <c r="CA19" i="2"/>
  <c r="N16" i="1" s="1"/>
  <c r="CC18" i="2"/>
  <c r="P15" i="1" s="1"/>
  <c r="BU33" i="2"/>
  <c r="M24" i="1" s="1"/>
  <c r="CA31" i="2"/>
  <c r="S22" i="1" s="1"/>
  <c r="BT15" i="2"/>
  <c r="G12" i="1" s="1"/>
  <c r="BS18" i="2"/>
  <c r="F15" i="1" s="1"/>
  <c r="CA33" i="2"/>
  <c r="S24" i="1" s="1"/>
  <c r="CI18" i="2"/>
  <c r="V15" i="1" s="1"/>
  <c r="CG17" i="2"/>
  <c r="T14" i="1" s="1"/>
  <c r="BS31" i="2"/>
  <c r="K22" i="1" s="1"/>
  <c r="CE19" i="2"/>
  <c r="R16" i="1" s="1"/>
  <c r="CA30" i="2"/>
  <c r="S21" i="1" s="1"/>
  <c r="BX19" i="2"/>
  <c r="K16" i="1" s="1"/>
  <c r="CA14" i="2"/>
  <c r="N11" i="1" s="1"/>
  <c r="CF32" i="2"/>
  <c r="X23" i="1" s="1"/>
  <c r="BU30" i="2"/>
  <c r="M21" i="1" s="1"/>
  <c r="CB15" i="2"/>
  <c r="O12" i="1" s="1"/>
  <c r="BW15" i="2"/>
  <c r="J12" i="1" s="1"/>
  <c r="CD30" i="2"/>
  <c r="V21" i="1" s="1"/>
  <c r="CF16" i="2"/>
  <c r="S13" i="1" s="1"/>
  <c r="CB18" i="2"/>
  <c r="O15" i="1" s="1"/>
  <c r="CL18" i="2"/>
  <c r="Y15" i="1" s="1"/>
  <c r="CJ15" i="2"/>
  <c r="W12" i="1" s="1"/>
  <c r="CJ16" i="2"/>
  <c r="W13" i="1" s="1"/>
  <c r="CL16" i="2"/>
  <c r="Y13" i="1" s="1"/>
  <c r="BV30" i="2"/>
  <c r="N21" i="1" s="1"/>
  <c r="CH32" i="2"/>
  <c r="Z23" i="1" s="1"/>
  <c r="CB32" i="2"/>
  <c r="T23" i="1" s="1"/>
  <c r="CN16" i="2"/>
  <c r="AA13" i="1" s="1"/>
  <c r="BS17" i="2"/>
  <c r="F14" i="1" s="1"/>
  <c r="CL15" i="2"/>
  <c r="Y12" i="1" s="1"/>
  <c r="CE18" i="2"/>
  <c r="R15" i="1" s="1"/>
  <c r="BR31" i="2"/>
  <c r="J22" i="1" s="1"/>
  <c r="BR32" i="2"/>
  <c r="J23" i="1" s="1"/>
  <c r="CB17" i="2"/>
  <c r="O14" i="1" s="1"/>
  <c r="BX15" i="2"/>
  <c r="K12" i="1" s="1"/>
  <c r="BY30" i="2"/>
  <c r="Q21" i="1" s="1"/>
  <c r="BU17" i="2"/>
  <c r="H14" i="1" s="1"/>
  <c r="BZ31" i="2"/>
  <c r="R22" i="1" s="1"/>
  <c r="BY33" i="2"/>
  <c r="Q24" i="1" s="1"/>
  <c r="CI32" i="2"/>
  <c r="AA23" i="1" s="1"/>
  <c r="BT16" i="2"/>
  <c r="G13" i="1" s="1"/>
  <c r="BY17" i="2"/>
  <c r="L14" i="1" s="1"/>
  <c r="CL17" i="2"/>
  <c r="Y14" i="1" s="1"/>
  <c r="CG33" i="2"/>
  <c r="Y24" i="1" s="1"/>
  <c r="CC16" i="2"/>
  <c r="P13" i="1" s="1"/>
  <c r="CC19" i="2"/>
  <c r="P16" i="1" s="1"/>
  <c r="BZ33" i="2"/>
  <c r="R24" i="1" s="1"/>
  <c r="CG18" i="2"/>
  <c r="T15" i="1" s="1"/>
  <c r="CB16" i="2"/>
  <c r="O13" i="1" s="1"/>
  <c r="CG32" i="2"/>
  <c r="Y23" i="1" s="1"/>
  <c r="BV15" i="2"/>
  <c r="I12" i="1" s="1"/>
  <c r="CA32" i="2"/>
  <c r="S23" i="1" s="1"/>
  <c r="CI33" i="2"/>
  <c r="AA24" i="1" s="1"/>
  <c r="CI16" i="2"/>
  <c r="V13" i="1" s="1"/>
  <c r="BR17" i="2"/>
  <c r="E14" i="1" s="1"/>
  <c r="BT32" i="2"/>
  <c r="L23" i="1" s="1"/>
  <c r="CN14" i="2"/>
  <c r="AA11" i="1" s="1"/>
  <c r="BY18" i="2"/>
  <c r="L15" i="1" s="1"/>
  <c r="BR30" i="2"/>
  <c r="J21" i="1" s="1"/>
  <c r="BR18" i="2"/>
  <c r="E15" i="1" s="1"/>
  <c r="CE31" i="2"/>
  <c r="W22" i="1" s="1"/>
  <c r="BW31" i="2"/>
  <c r="O22" i="1" s="1"/>
  <c r="BZ14" i="2"/>
  <c r="M11" i="1" s="1"/>
  <c r="BZ18" i="2"/>
  <c r="M15" i="1" s="1"/>
  <c r="CK15" i="2"/>
  <c r="X12" i="1" s="1"/>
  <c r="BV32" i="2"/>
  <c r="N23" i="1" s="1"/>
  <c r="BS30" i="2"/>
  <c r="K21" i="1" s="1"/>
  <c r="BV18" i="2"/>
  <c r="I15" i="1" s="1"/>
  <c r="CF15" i="2"/>
  <c r="S12" i="1" s="1"/>
  <c r="BX30" i="2"/>
  <c r="P21" i="1" s="1"/>
  <c r="CC17" i="2"/>
  <c r="P14" i="1" s="1"/>
  <c r="T11" i="1"/>
  <c r="P11" i="1"/>
  <c r="AL57" i="2"/>
  <c r="X81" i="2"/>
  <c r="K36" i="1"/>
  <c r="V82" i="2"/>
  <c r="AG58" i="2"/>
  <c r="AH58" i="2"/>
  <c r="AM47" i="2"/>
  <c r="E91" i="2" s="1"/>
  <c r="E90" i="2" s="1"/>
  <c r="C12" i="1" s="1"/>
  <c r="H22" i="1" s="1"/>
  <c r="AP47" i="2"/>
  <c r="F91" i="2" s="1"/>
  <c r="F90" i="2" s="1"/>
  <c r="B14" i="1" s="1"/>
  <c r="G24" i="1" s="1"/>
  <c r="AB83" i="2"/>
  <c r="K32" i="1" s="1"/>
  <c r="X84" i="2"/>
  <c r="Y84" i="2" s="1"/>
  <c r="W82" i="2" l="1"/>
  <c r="Y81" i="2"/>
  <c r="I30" i="1"/>
  <c r="E31" i="1"/>
  <c r="D31" i="1"/>
  <c r="AB84" i="2"/>
  <c r="AB81" i="2" l="1"/>
  <c r="X82" i="2"/>
  <c r="K33" i="1"/>
  <c r="K30" i="1" l="1"/>
  <c r="Y82" i="2"/>
  <c r="AB82" i="2" l="1"/>
  <c r="K31" i="1" l="1"/>
</calcChain>
</file>

<file path=xl/sharedStrings.xml><?xml version="1.0" encoding="utf-8"?>
<sst xmlns="http://schemas.openxmlformats.org/spreadsheetml/2006/main" count="963" uniqueCount="417">
  <si>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</si>
  <si>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</si>
  <si>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</si>
  <si>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</si>
  <si>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</si>
  <si>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A</t>
    <phoneticPr fontId="1"/>
  </si>
  <si>
    <t>B</t>
    <phoneticPr fontId="1"/>
  </si>
  <si>
    <t>ダイアトニックスケール</t>
    <phoneticPr fontId="1"/>
  </si>
  <si>
    <t>ダイアトニックコード</t>
    <phoneticPr fontId="1"/>
  </si>
  <si>
    <t>【ukulele】</t>
    <phoneticPr fontId="1"/>
  </si>
  <si>
    <t>【Guitar】</t>
    <phoneticPr fontId="1"/>
  </si>
  <si>
    <t>G</t>
  </si>
  <si>
    <t>C</t>
  </si>
  <si>
    <t>E</t>
  </si>
  <si>
    <t>A</t>
  </si>
  <si>
    <t>Ukuleleポジションマーク位置</t>
    <rPh sb="15" eb="17">
      <t>イチ</t>
    </rPh>
    <phoneticPr fontId="1"/>
  </si>
  <si>
    <t>-</t>
    <phoneticPr fontId="1"/>
  </si>
  <si>
    <t>Major</t>
    <phoneticPr fontId="1"/>
  </si>
  <si>
    <t>CapoList</t>
    <phoneticPr fontId="1"/>
  </si>
  <si>
    <t>All</t>
    <phoneticPr fontId="1"/>
  </si>
  <si>
    <t>-</t>
    <phoneticPr fontId="1"/>
  </si>
  <si>
    <t>I</t>
  </si>
  <si>
    <t>II</t>
  </si>
  <si>
    <t>♭III</t>
  </si>
  <si>
    <t>III</t>
  </si>
  <si>
    <t>IV</t>
  </si>
  <si>
    <t>IV</t>
    <phoneticPr fontId="1"/>
  </si>
  <si>
    <t>VII</t>
  </si>
  <si>
    <t>VI</t>
  </si>
  <si>
    <t>♭VI</t>
  </si>
  <si>
    <t>V</t>
  </si>
  <si>
    <t>♭V</t>
  </si>
  <si>
    <t>DegreeNameList</t>
    <phoneticPr fontId="1"/>
  </si>
  <si>
    <t>C♯</t>
    <phoneticPr fontId="1"/>
  </si>
  <si>
    <t>A♭</t>
    <phoneticPr fontId="1"/>
  </si>
  <si>
    <t>B♭</t>
    <phoneticPr fontId="1"/>
  </si>
  <si>
    <t>D♯</t>
    <phoneticPr fontId="1"/>
  </si>
  <si>
    <t>F♯</t>
    <phoneticPr fontId="1"/>
  </si>
  <si>
    <t>G♯</t>
    <phoneticPr fontId="1"/>
  </si>
  <si>
    <t>A♯</t>
    <phoneticPr fontId="1"/>
  </si>
  <si>
    <t>TuningList</t>
    <phoneticPr fontId="1"/>
  </si>
  <si>
    <t>C♯/D♭</t>
  </si>
  <si>
    <t>D♯/E♭</t>
  </si>
  <si>
    <t>F♯/G♭</t>
  </si>
  <si>
    <t>G♯/A♭</t>
  </si>
  <si>
    <t>A♯/B♭</t>
  </si>
  <si>
    <t>ScaleList</t>
    <phoneticPr fontId="1"/>
  </si>
  <si>
    <t>メジャー</t>
    <phoneticPr fontId="1"/>
  </si>
  <si>
    <t>マイナー</t>
    <phoneticPr fontId="1"/>
  </si>
  <si>
    <t>Key2List</t>
    <phoneticPr fontId="1"/>
  </si>
  <si>
    <t>key1No</t>
    <phoneticPr fontId="1"/>
  </si>
  <si>
    <t>E♭</t>
    <phoneticPr fontId="1"/>
  </si>
  <si>
    <t>シャープ系</t>
    <rPh sb="4" eb="5">
      <t>ケイ</t>
    </rPh>
    <phoneticPr fontId="1"/>
  </si>
  <si>
    <t>フラット系</t>
    <rPh sb="4" eb="5">
      <t>ケイ</t>
    </rPh>
    <phoneticPr fontId="1"/>
  </si>
  <si>
    <t>メジャーダイアトニックスケール</t>
    <phoneticPr fontId="1"/>
  </si>
  <si>
    <t>ハーモニックマイナースケール</t>
    <phoneticPr fontId="1"/>
  </si>
  <si>
    <t>メロディックマイナースケール</t>
    <phoneticPr fontId="1"/>
  </si>
  <si>
    <t>OFF</t>
    <phoneticPr fontId="1"/>
  </si>
  <si>
    <t>ON</t>
    <phoneticPr fontId="1"/>
  </si>
  <si>
    <t>ペンタトニックスケールのみ表示</t>
  </si>
  <si>
    <t>Major Penta</t>
    <phoneticPr fontId="1"/>
  </si>
  <si>
    <t>PentaScale</t>
    <phoneticPr fontId="1"/>
  </si>
  <si>
    <t>DiatonicScale</t>
    <phoneticPr fontId="1"/>
  </si>
  <si>
    <t>major</t>
    <phoneticPr fontId="1"/>
  </si>
  <si>
    <t>natural m.</t>
    <phoneticPr fontId="1"/>
  </si>
  <si>
    <t>Harmonic m.</t>
    <phoneticPr fontId="1"/>
  </si>
  <si>
    <t>Melodic m.</t>
    <phoneticPr fontId="1"/>
  </si>
  <si>
    <t>7th</t>
    <phoneticPr fontId="1"/>
  </si>
  <si>
    <t>DegreeNameList2</t>
    <phoneticPr fontId="1"/>
  </si>
  <si>
    <t>コード音のみ表示</t>
    <rPh sb="3" eb="4">
      <t>オト</t>
    </rPh>
    <rPh sb="6" eb="8">
      <t>ヒョウジ</t>
    </rPh>
    <phoneticPr fontId="1"/>
  </si>
  <si>
    <t>m</t>
  </si>
  <si>
    <t>m(♭5)</t>
  </si>
  <si>
    <t>△7</t>
  </si>
  <si>
    <t>m7</t>
  </si>
  <si>
    <t>m7(♭5)</t>
  </si>
  <si>
    <t>m</t>
    <phoneticPr fontId="1"/>
  </si>
  <si>
    <t>m7</t>
    <phoneticPr fontId="1"/>
  </si>
  <si>
    <t>m△7</t>
    <phoneticPr fontId="1"/>
  </si>
  <si>
    <t>(♯5)</t>
    <phoneticPr fontId="1"/>
  </si>
  <si>
    <t>△7(♯5)</t>
    <phoneticPr fontId="1"/>
  </si>
  <si>
    <t>dim7</t>
    <phoneticPr fontId="1"/>
  </si>
  <si>
    <t>m7(♭5)</t>
    <phoneticPr fontId="1"/>
  </si>
  <si>
    <t>triads</t>
    <phoneticPr fontId="1"/>
  </si>
  <si>
    <t>3列目</t>
    <rPh sb="1" eb="3">
      <t>レツメ</t>
    </rPh>
    <phoneticPr fontId="1"/>
  </si>
  <si>
    <t>4列目</t>
    <rPh sb="1" eb="3">
      <t>レツメ</t>
    </rPh>
    <phoneticPr fontId="1"/>
  </si>
  <si>
    <t>5列目</t>
    <rPh sb="1" eb="3">
      <t>レツメ</t>
    </rPh>
    <phoneticPr fontId="1"/>
  </si>
  <si>
    <t>6列目</t>
    <rPh sb="1" eb="3">
      <t>レツメ</t>
    </rPh>
    <phoneticPr fontId="1"/>
  </si>
  <si>
    <t>マイナー</t>
  </si>
  <si>
    <t>ナチュラルマイナー</t>
  </si>
  <si>
    <t>function</t>
    <phoneticPr fontId="1"/>
  </si>
  <si>
    <t>Triads</t>
  </si>
  <si>
    <t>7th</t>
  </si>
  <si>
    <t>7th</t>
    <phoneticPr fontId="1"/>
  </si>
  <si>
    <t>Function</t>
    <phoneticPr fontId="1"/>
  </si>
  <si>
    <t>4和音</t>
    <rPh sb="1" eb="3">
      <t>ワオン</t>
    </rPh>
    <phoneticPr fontId="1"/>
  </si>
  <si>
    <t>3和音</t>
    <rPh sb="1" eb="3">
      <t>ワオン</t>
    </rPh>
    <phoneticPr fontId="1"/>
  </si>
  <si>
    <t>T</t>
    <phoneticPr fontId="1"/>
  </si>
  <si>
    <t>D</t>
    <phoneticPr fontId="1"/>
  </si>
  <si>
    <t>SD</t>
    <phoneticPr fontId="1"/>
  </si>
  <si>
    <t>Root</t>
    <phoneticPr fontId="1"/>
  </si>
  <si>
    <t>3音コード名</t>
    <rPh sb="1" eb="2">
      <t>オン</t>
    </rPh>
    <rPh sb="5" eb="6">
      <t>ナ</t>
    </rPh>
    <phoneticPr fontId="1"/>
  </si>
  <si>
    <t>4音コード名</t>
    <rPh sb="1" eb="2">
      <t>オン</t>
    </rPh>
    <rPh sb="5" eb="6">
      <t>ナ</t>
    </rPh>
    <phoneticPr fontId="1"/>
  </si>
  <si>
    <t>度数</t>
    <rPh sb="0" eb="2">
      <t>ドスウ</t>
    </rPh>
    <phoneticPr fontId="1"/>
  </si>
  <si>
    <t>DegreeN.</t>
    <phoneticPr fontId="1"/>
  </si>
  <si>
    <t>PentaSW</t>
    <phoneticPr fontId="1"/>
  </si>
  <si>
    <t>NoteList</t>
    <phoneticPr fontId="1"/>
  </si>
  <si>
    <t>Triads7th</t>
    <phoneticPr fontId="1"/>
  </si>
  <si>
    <t>S.D.1</t>
    <phoneticPr fontId="1"/>
  </si>
  <si>
    <t>S.D.2</t>
    <phoneticPr fontId="1"/>
  </si>
  <si>
    <t>Language</t>
    <phoneticPr fontId="1"/>
  </si>
  <si>
    <t>日本語</t>
    <rPh sb="0" eb="3">
      <t>ニホンゴ</t>
    </rPh>
    <phoneticPr fontId="1"/>
  </si>
  <si>
    <t>English</t>
  </si>
  <si>
    <t>English</t>
    <phoneticPr fontId="1"/>
  </si>
  <si>
    <t>採用</t>
    <rPh sb="0" eb="2">
      <t>サイヨウ</t>
    </rPh>
    <phoneticPr fontId="1"/>
  </si>
  <si>
    <t>キー：</t>
    <phoneticPr fontId="1"/>
  </si>
  <si>
    <t>マイナーダイアトニックスケール（ナチュラルマイナースケール）</t>
    <phoneticPr fontId="1"/>
  </si>
  <si>
    <t>ハーモニックマイナー</t>
  </si>
  <si>
    <t>※メジャーキー選択時又はナチュラルマイナースケール選択時のみ有効</t>
  </si>
  <si>
    <t>※( )内はレギュラーチューニング</t>
  </si>
  <si>
    <t>3和音</t>
  </si>
  <si>
    <t>♭II</t>
    <phoneticPr fontId="1"/>
  </si>
  <si>
    <t>カポなし</t>
  </si>
  <si>
    <t>No Capo</t>
  </si>
  <si>
    <t>Capo:</t>
    <phoneticPr fontId="1"/>
  </si>
  <si>
    <t>カポ：</t>
    <phoneticPr fontId="1"/>
  </si>
  <si>
    <t>3和音</t>
    <phoneticPr fontId="1"/>
  </si>
  <si>
    <t>4和音</t>
  </si>
  <si>
    <t>4和音</t>
    <phoneticPr fontId="1"/>
  </si>
  <si>
    <t>メジャー</t>
  </si>
  <si>
    <t>Function</t>
    <phoneticPr fontId="1"/>
  </si>
  <si>
    <t>Triad</t>
  </si>
  <si>
    <t>Triad</t>
    <phoneticPr fontId="1"/>
  </si>
  <si>
    <t>Triad Chord</t>
    <phoneticPr fontId="1"/>
  </si>
  <si>
    <t>7th Chord</t>
    <phoneticPr fontId="1"/>
  </si>
  <si>
    <t>Degree:</t>
    <phoneticPr fontId="1"/>
  </si>
  <si>
    <t>Triad/7th:</t>
    <phoneticPr fontId="1"/>
  </si>
  <si>
    <t>度数：</t>
    <rPh sb="0" eb="2">
      <t>ドスウ</t>
    </rPh>
    <phoneticPr fontId="1"/>
  </si>
  <si>
    <t>3和音/4和音：</t>
    <rPh sb="1" eb="3">
      <t>ワオン</t>
    </rPh>
    <rPh sb="5" eb="7">
      <t>ワオン</t>
    </rPh>
    <phoneticPr fontId="1"/>
  </si>
  <si>
    <t>メロディックマイナー</t>
  </si>
  <si>
    <t>Harmonic minor</t>
    <phoneticPr fontId="1"/>
  </si>
  <si>
    <t>Melodic minor</t>
    <phoneticPr fontId="1"/>
  </si>
  <si>
    <t>Natural minor</t>
    <phoneticPr fontId="1"/>
  </si>
  <si>
    <t>Major</t>
    <phoneticPr fontId="1"/>
  </si>
  <si>
    <t>ペンタトニックスケール</t>
    <phoneticPr fontId="1"/>
  </si>
  <si>
    <t>Pentatonic Scale</t>
    <phoneticPr fontId="1"/>
  </si>
  <si>
    <t>Major Diatonic Scale</t>
    <phoneticPr fontId="1"/>
  </si>
  <si>
    <t>Diatonic Scale</t>
    <phoneticPr fontId="1"/>
  </si>
  <si>
    <t>Natural minor Scale</t>
    <phoneticPr fontId="1"/>
  </si>
  <si>
    <t>Harmonic minor Scale</t>
    <phoneticPr fontId="1"/>
  </si>
  <si>
    <t>Melodic minor Scale</t>
    <phoneticPr fontId="1"/>
  </si>
  <si>
    <t>RootColorFB</t>
    <phoneticPr fontId="1"/>
  </si>
  <si>
    <t>PentaColorFB</t>
    <phoneticPr fontId="1"/>
  </si>
  <si>
    <t>RootColorCH</t>
    <phoneticPr fontId="1"/>
  </si>
  <si>
    <t>PentaColorCH</t>
    <phoneticPr fontId="1"/>
  </si>
  <si>
    <t>Natural minor Diatonic Chords</t>
    <phoneticPr fontId="1"/>
  </si>
  <si>
    <t>Harmonic minor Diatonic Chords</t>
    <phoneticPr fontId="1"/>
  </si>
  <si>
    <t>Melodic minor Diatonic Chords</t>
    <phoneticPr fontId="1"/>
  </si>
  <si>
    <t>Diatonic Chords</t>
    <phoneticPr fontId="1"/>
  </si>
  <si>
    <t>Major Diatonic Chords</t>
    <phoneticPr fontId="1"/>
  </si>
  <si>
    <t>メジャーダイアトニックコード</t>
    <phoneticPr fontId="1"/>
  </si>
  <si>
    <t>マイナーダイアトニックコード（ナチュラルマイナー）</t>
    <phoneticPr fontId="1"/>
  </si>
  <si>
    <t>ハーモニックマイナーダイアトニックコード</t>
    <phoneticPr fontId="1"/>
  </si>
  <si>
    <t>メロディックマイナーダイアトニックコード</t>
    <phoneticPr fontId="1"/>
  </si>
  <si>
    <t>度数</t>
    <rPh sb="0" eb="2">
      <t>ドスウ</t>
    </rPh>
    <phoneticPr fontId="1"/>
  </si>
  <si>
    <t>Degree Name</t>
    <phoneticPr fontId="1"/>
  </si>
  <si>
    <t>メジャー/マイナー：</t>
    <phoneticPr fontId="1"/>
  </si>
  <si>
    <t>マイナースケール種類：</t>
    <rPh sb="8" eb="10">
      <t>シュルイ</t>
    </rPh>
    <phoneticPr fontId="1"/>
  </si>
  <si>
    <t>Key :</t>
    <phoneticPr fontId="1"/>
  </si>
  <si>
    <t>Display only Pentatonic Scale</t>
    <phoneticPr fontId="1"/>
  </si>
  <si>
    <t>2nd(B):</t>
    <phoneticPr fontId="1"/>
  </si>
  <si>
    <t>3rd(G):</t>
    <phoneticPr fontId="1"/>
  </si>
  <si>
    <t>4th(D):</t>
    <phoneticPr fontId="1"/>
  </si>
  <si>
    <t>5th(A):</t>
    <phoneticPr fontId="1"/>
  </si>
  <si>
    <t>6th(E):</t>
    <phoneticPr fontId="1"/>
  </si>
  <si>
    <t>1st(E):</t>
    <phoneticPr fontId="1"/>
  </si>
  <si>
    <t>1st(A):</t>
    <phoneticPr fontId="1"/>
  </si>
  <si>
    <t>2nd(E):</t>
    <phoneticPr fontId="1"/>
  </si>
  <si>
    <t>3rd(C):</t>
    <phoneticPr fontId="1"/>
  </si>
  <si>
    <t>4th(G):</t>
    <phoneticPr fontId="1"/>
  </si>
  <si>
    <t xml:space="preserve"> F</t>
    <phoneticPr fontId="1"/>
  </si>
  <si>
    <t>Language:</t>
    <phoneticPr fontId="1"/>
  </si>
  <si>
    <t>User settings</t>
    <phoneticPr fontId="1"/>
  </si>
  <si>
    <t>ユーザー設定</t>
    <rPh sb="4" eb="6">
      <t>セッテイ</t>
    </rPh>
    <phoneticPr fontId="1"/>
  </si>
  <si>
    <t>UKPmark</t>
    <phoneticPr fontId="1"/>
  </si>
  <si>
    <t>Tm</t>
    <phoneticPr fontId="1"/>
  </si>
  <si>
    <t>SDm</t>
    <phoneticPr fontId="1"/>
  </si>
  <si>
    <t>機能</t>
    <rPh sb="0" eb="1">
      <t>キ</t>
    </rPh>
    <rPh sb="1" eb="2">
      <t>ノウ</t>
    </rPh>
    <phoneticPr fontId="1"/>
  </si>
  <si>
    <t>C♯ or D♭</t>
    <phoneticPr fontId="1"/>
  </si>
  <si>
    <t>D♯ or E♭</t>
    <phoneticPr fontId="1"/>
  </si>
  <si>
    <t>F♯ or G♭</t>
    <phoneticPr fontId="1"/>
  </si>
  <si>
    <t>G♯ or A♭</t>
    <phoneticPr fontId="1"/>
  </si>
  <si>
    <t>A</t>
    <phoneticPr fontId="1"/>
  </si>
  <si>
    <t>( Relative Key :</t>
    <phoneticPr fontId="1"/>
  </si>
  <si>
    <t>( 平行調：</t>
    <rPh sb="2" eb="4">
      <t>ヘイコウ</t>
    </rPh>
    <rPh sb="4" eb="5">
      <t>チョウ</t>
    </rPh>
    <phoneticPr fontId="1"/>
  </si>
  <si>
    <t>B♭</t>
  </si>
  <si>
    <t>B♭</t>
    <phoneticPr fontId="1"/>
  </si>
  <si>
    <t>DshmEflm</t>
    <phoneticPr fontId="1"/>
  </si>
  <si>
    <t>FshGfl</t>
    <phoneticPr fontId="1"/>
  </si>
  <si>
    <t>E</t>
    <phoneticPr fontId="1"/>
  </si>
  <si>
    <t>B</t>
    <phoneticPr fontId="1"/>
  </si>
  <si>
    <t>G</t>
    <phoneticPr fontId="1"/>
  </si>
  <si>
    <t>D</t>
    <phoneticPr fontId="1"/>
  </si>
  <si>
    <t>C</t>
    <phoneticPr fontId="1"/>
  </si>
  <si>
    <t>【Guitar】</t>
  </si>
  <si>
    <t>【Ukulele】</t>
  </si>
  <si>
    <t>ChordTone</t>
    <phoneticPr fontId="1"/>
  </si>
  <si>
    <t>B</t>
  </si>
  <si>
    <t>D</t>
  </si>
  <si>
    <t>F</t>
  </si>
  <si>
    <t>C♯</t>
    <phoneticPr fontId="1"/>
  </si>
  <si>
    <t>minor</t>
    <phoneticPr fontId="1"/>
  </si>
  <si>
    <t>E♭</t>
    <phoneticPr fontId="1"/>
  </si>
  <si>
    <t>A♭</t>
    <phoneticPr fontId="1"/>
  </si>
  <si>
    <t>D♭</t>
    <phoneticPr fontId="1"/>
  </si>
  <si>
    <t>F♯</t>
    <phoneticPr fontId="1"/>
  </si>
  <si>
    <t>G♯</t>
    <phoneticPr fontId="1"/>
  </si>
  <si>
    <t>---</t>
    <phoneticPr fontId="1"/>
  </si>
  <si>
    <t>Display only chord tones</t>
    <phoneticPr fontId="1"/>
  </si>
  <si>
    <t>Japanese</t>
  </si>
  <si>
    <t>Lang00</t>
    <phoneticPr fontId="1"/>
  </si>
  <si>
    <t>Lang01</t>
    <phoneticPr fontId="1"/>
  </si>
  <si>
    <t>Lang02</t>
    <phoneticPr fontId="1"/>
  </si>
  <si>
    <t>Lang03</t>
    <phoneticPr fontId="1"/>
  </si>
  <si>
    <t>Lang04</t>
    <phoneticPr fontId="1"/>
  </si>
  <si>
    <t>*Only when Major key or Natural minor Scale is selected</t>
    <phoneticPr fontId="1"/>
  </si>
  <si>
    <t>i</t>
  </si>
  <si>
    <t>ii♭</t>
  </si>
  <si>
    <t>ii</t>
  </si>
  <si>
    <t>iii♭</t>
  </si>
  <si>
    <t>iii</t>
  </si>
  <si>
    <t>iv</t>
  </si>
  <si>
    <t>v</t>
  </si>
  <si>
    <t>v♯</t>
  </si>
  <si>
    <t>v♭</t>
  </si>
  <si>
    <t>vi</t>
  </si>
  <si>
    <t>vi♭</t>
  </si>
  <si>
    <t>vii♭</t>
  </si>
  <si>
    <t>vii</t>
  </si>
  <si>
    <t>♭VII</t>
    <phoneticPr fontId="1"/>
  </si>
  <si>
    <t>Tuning</t>
    <phoneticPr fontId="1"/>
  </si>
  <si>
    <t>Regular tuning</t>
    <phoneticPr fontId="1"/>
  </si>
  <si>
    <t>①</t>
    <phoneticPr fontId="1"/>
  </si>
  <si>
    <t>②</t>
    <phoneticPr fontId="1"/>
  </si>
  <si>
    <t>①-②'</t>
    <phoneticPr fontId="1"/>
  </si>
  <si>
    <t>②'</t>
    <phoneticPr fontId="1"/>
  </si>
  <si>
    <t>NoteListNo</t>
    <phoneticPr fontId="1"/>
  </si>
  <si>
    <t>ダイアトニック</t>
    <phoneticPr fontId="1"/>
  </si>
  <si>
    <t>Capo+</t>
    <phoneticPr fontId="1"/>
  </si>
  <si>
    <t>Capo+Root</t>
    <phoneticPr fontId="1"/>
  </si>
  <si>
    <t>NA</t>
    <phoneticPr fontId="1"/>
  </si>
  <si>
    <t>-</t>
    <phoneticPr fontId="1"/>
  </si>
  <si>
    <r>
      <rPr>
        <b/>
        <sz val="11"/>
        <color theme="8" tint="-0.249977111117893"/>
        <rFont val="Meiryo UI"/>
        <family val="3"/>
        <charset val="128"/>
      </rPr>
      <t>【</t>
    </r>
    <r>
      <rPr>
        <b/>
        <sz val="11"/>
        <color theme="8" tint="-0.249977111117893"/>
        <rFont val="Arial"/>
        <family val="2"/>
      </rPr>
      <t>Guitar</t>
    </r>
    <r>
      <rPr>
        <b/>
        <sz val="11"/>
        <color theme="8" tint="-0.249977111117893"/>
        <rFont val="Meiryo UI"/>
        <family val="3"/>
        <charset val="128"/>
      </rPr>
      <t>】</t>
    </r>
    <phoneticPr fontId="1"/>
  </si>
  <si>
    <r>
      <rPr>
        <b/>
        <sz val="11"/>
        <color theme="8" tint="-0.249977111117893"/>
        <rFont val="Meiryo UI"/>
        <family val="3"/>
        <charset val="128"/>
      </rPr>
      <t>【</t>
    </r>
    <r>
      <rPr>
        <b/>
        <sz val="11"/>
        <color theme="8" tint="-0.249977111117893"/>
        <rFont val="Arial"/>
        <family val="2"/>
      </rPr>
      <t>Ukulele</t>
    </r>
    <r>
      <rPr>
        <b/>
        <sz val="11"/>
        <color theme="8" tint="-0.249977111117893"/>
        <rFont val="Meiryo UI"/>
        <family val="3"/>
        <charset val="128"/>
      </rPr>
      <t>】</t>
    </r>
    <phoneticPr fontId="1"/>
  </si>
  <si>
    <t>1弦(E):</t>
    <rPh sb="1" eb="2">
      <t>ゲン</t>
    </rPh>
    <phoneticPr fontId="1"/>
  </si>
  <si>
    <t>2弦(B):</t>
    <rPh sb="1" eb="2">
      <t>ゲン</t>
    </rPh>
    <phoneticPr fontId="1"/>
  </si>
  <si>
    <t>3弦(G):</t>
    <rPh sb="1" eb="2">
      <t>ゲン</t>
    </rPh>
    <phoneticPr fontId="1"/>
  </si>
  <si>
    <t>4弦(D):</t>
    <rPh sb="1" eb="2">
      <t>ゲン</t>
    </rPh>
    <phoneticPr fontId="1"/>
  </si>
  <si>
    <t>5弦(A):</t>
    <rPh sb="1" eb="2">
      <t>ゲン</t>
    </rPh>
    <phoneticPr fontId="1"/>
  </si>
  <si>
    <t>6弦(E):</t>
    <rPh sb="1" eb="2">
      <t>ゲン</t>
    </rPh>
    <phoneticPr fontId="1"/>
  </si>
  <si>
    <t>1弦(A):</t>
    <rPh sb="1" eb="2">
      <t>ゲン</t>
    </rPh>
    <phoneticPr fontId="1"/>
  </si>
  <si>
    <t>2弦(E):</t>
    <rPh sb="1" eb="2">
      <t>ゲン</t>
    </rPh>
    <phoneticPr fontId="1"/>
  </si>
  <si>
    <t>3弦(C):</t>
    <rPh sb="1" eb="2">
      <t>ゲン</t>
    </rPh>
    <phoneticPr fontId="1"/>
  </si>
  <si>
    <t>4弦(G):</t>
    <rPh sb="1" eb="2">
      <t>ゲン</t>
    </rPh>
    <phoneticPr fontId="1"/>
  </si>
  <si>
    <t xml:space="preserve">チューナー </t>
    <phoneticPr fontId="1"/>
  </si>
  <si>
    <t xml:space="preserve">Tuner </t>
    <phoneticPr fontId="1"/>
  </si>
  <si>
    <t>1.0</t>
    <phoneticPr fontId="1"/>
  </si>
  <si>
    <t>0.5</t>
    <phoneticPr fontId="1"/>
  </si>
  <si>
    <t>1.5</t>
    <phoneticPr fontId="1"/>
  </si>
  <si>
    <t>2.0</t>
    <phoneticPr fontId="1"/>
  </si>
  <si>
    <t>2.5</t>
    <phoneticPr fontId="1"/>
  </si>
  <si>
    <t>3.0</t>
    <phoneticPr fontId="1"/>
  </si>
  <si>
    <t>3.5</t>
    <phoneticPr fontId="1"/>
  </si>
  <si>
    <t>半音</t>
    <rPh sb="0" eb="2">
      <t>ハンオン</t>
    </rPh>
    <phoneticPr fontId="1"/>
  </si>
  <si>
    <t>1音</t>
    <rPh sb="1" eb="2">
      <t>オン</t>
    </rPh>
    <phoneticPr fontId="1"/>
  </si>
  <si>
    <t>1音半</t>
    <rPh sb="1" eb="3">
      <t>オンハン</t>
    </rPh>
    <phoneticPr fontId="1"/>
  </si>
  <si>
    <t>2音</t>
    <rPh sb="1" eb="2">
      <t>オン</t>
    </rPh>
    <phoneticPr fontId="1"/>
  </si>
  <si>
    <t>2音半</t>
    <rPh sb="1" eb="2">
      <t>オン</t>
    </rPh>
    <rPh sb="2" eb="3">
      <t>ハン</t>
    </rPh>
    <phoneticPr fontId="1"/>
  </si>
  <si>
    <t>3音</t>
    <rPh sb="1" eb="2">
      <t>オン</t>
    </rPh>
    <phoneticPr fontId="1"/>
  </si>
  <si>
    <t>3音半</t>
    <rPh sb="1" eb="2">
      <t>オン</t>
    </rPh>
    <rPh sb="2" eb="3">
      <t>ハン</t>
    </rPh>
    <phoneticPr fontId="1"/>
  </si>
  <si>
    <t>下げチューニング</t>
    <rPh sb="0" eb="1">
      <t>サ</t>
    </rPh>
    <phoneticPr fontId="1"/>
  </si>
  <si>
    <t xml:space="preserve"> step down tuning</t>
    <phoneticPr fontId="1"/>
  </si>
  <si>
    <t xml:space="preserve"> steps down tuning</t>
    <phoneticPr fontId="1"/>
  </si>
  <si>
    <t>grayout01</t>
    <phoneticPr fontId="1"/>
  </si>
  <si>
    <t>grayout02</t>
    <phoneticPr fontId="1"/>
  </si>
  <si>
    <r>
      <rPr>
        <b/>
        <sz val="14"/>
        <color theme="0" tint="-4.9989318521683403E-2"/>
        <rFont val="Meiryo UI"/>
        <family val="3"/>
        <charset val="128"/>
      </rPr>
      <t>【</t>
    </r>
    <r>
      <rPr>
        <b/>
        <sz val="14"/>
        <color theme="0" tint="-4.9989318521683403E-2"/>
        <rFont val="Arial"/>
        <family val="2"/>
      </rPr>
      <t>Guitar</t>
    </r>
    <r>
      <rPr>
        <b/>
        <sz val="14"/>
        <color theme="0" tint="-4.9989318521683403E-2"/>
        <rFont val="Meiryo UI"/>
        <family val="3"/>
        <charset val="128"/>
      </rPr>
      <t>】</t>
    </r>
    <phoneticPr fontId="1"/>
  </si>
  <si>
    <r>
      <rPr>
        <b/>
        <sz val="14"/>
        <color theme="0" tint="-4.9989318521683403E-2"/>
        <rFont val="Meiryo UI"/>
        <family val="3"/>
        <charset val="128"/>
      </rPr>
      <t>【</t>
    </r>
    <r>
      <rPr>
        <b/>
        <sz val="14"/>
        <color theme="0" tint="-4.9989318521683403E-2"/>
        <rFont val="Arial"/>
        <family val="2"/>
      </rPr>
      <t>Ukulele</t>
    </r>
    <r>
      <rPr>
        <b/>
        <sz val="14"/>
        <color theme="0" tint="-4.9989318521683403E-2"/>
        <rFont val="Meiryo UI"/>
        <family val="3"/>
        <charset val="128"/>
      </rPr>
      <t>】</t>
    </r>
    <phoneticPr fontId="1"/>
  </si>
  <si>
    <t>OFF</t>
  </si>
  <si>
    <t>PentaON</t>
    <phoneticPr fontId="1"/>
  </si>
  <si>
    <t>ChordON</t>
    <phoneticPr fontId="1"/>
  </si>
  <si>
    <t xml:space="preserve"> (B)</t>
    <phoneticPr fontId="1"/>
  </si>
  <si>
    <t xml:space="preserve"> (F)</t>
    <phoneticPr fontId="1"/>
  </si>
  <si>
    <t xml:space="preserve"> B♭ E♭ A♭ D♭ G♭ C♭(B)</t>
    <phoneticPr fontId="1"/>
  </si>
  <si>
    <t/>
  </si>
  <si>
    <t>D♭</t>
  </si>
  <si>
    <t>C♭</t>
    <phoneticPr fontId="1"/>
  </si>
  <si>
    <t>A♭</t>
  </si>
  <si>
    <t>G♭</t>
  </si>
  <si>
    <t>E♭</t>
  </si>
  <si>
    <t>♭×6</t>
  </si>
  <si>
    <t>E♭ minor</t>
    <phoneticPr fontId="1"/>
  </si>
  <si>
    <t>=</t>
    <phoneticPr fontId="1"/>
  </si>
  <si>
    <t xml:space="preserve"> F♯ C♯ G♯ D♯ A♯ E♯(F)</t>
    <phoneticPr fontId="1"/>
  </si>
  <si>
    <t>C♯</t>
  </si>
  <si>
    <t>A♯</t>
  </si>
  <si>
    <t>G♯</t>
  </si>
  <si>
    <t>F♯</t>
  </si>
  <si>
    <t>E♯</t>
    <phoneticPr fontId="1"/>
  </si>
  <si>
    <t>D♯</t>
  </si>
  <si>
    <t>♯×6</t>
  </si>
  <si>
    <t>D♯ minor</t>
    <phoneticPr fontId="1"/>
  </si>
  <si>
    <t xml:space="preserve"> B♭ E♭ A♭ D♭ G♭</t>
    <phoneticPr fontId="1"/>
  </si>
  <si>
    <t>♭×5</t>
  </si>
  <si>
    <t>B♭ minor</t>
    <phoneticPr fontId="1"/>
  </si>
  <si>
    <t xml:space="preserve"> F♯ C♯ G♯ D♯ A♯</t>
    <phoneticPr fontId="1"/>
  </si>
  <si>
    <t>♯×5</t>
  </si>
  <si>
    <t>G♯ minor</t>
    <phoneticPr fontId="1"/>
  </si>
  <si>
    <t xml:space="preserve"> B♭ E♭ A♭ D♭</t>
    <phoneticPr fontId="1"/>
  </si>
  <si>
    <t>♭×4</t>
  </si>
  <si>
    <t>F minor</t>
    <phoneticPr fontId="1"/>
  </si>
  <si>
    <t xml:space="preserve"> F♯ C♯ G♯ D♯</t>
    <phoneticPr fontId="1"/>
  </si>
  <si>
    <t>♯×4</t>
  </si>
  <si>
    <t>C♯ minor</t>
    <phoneticPr fontId="1"/>
  </si>
  <si>
    <t xml:space="preserve"> B♭ E♭ A♭</t>
    <phoneticPr fontId="1"/>
  </si>
  <si>
    <t>♭×3</t>
  </si>
  <si>
    <t>C minor</t>
    <phoneticPr fontId="1"/>
  </si>
  <si>
    <t xml:space="preserve"> F♯ C♯ G♯</t>
    <phoneticPr fontId="1"/>
  </si>
  <si>
    <t>♯×3</t>
  </si>
  <si>
    <t>F♯ minor</t>
    <phoneticPr fontId="1"/>
  </si>
  <si>
    <t xml:space="preserve"> B♭ E♭</t>
    <phoneticPr fontId="1"/>
  </si>
  <si>
    <t>♭×2</t>
  </si>
  <si>
    <t>G minor</t>
    <phoneticPr fontId="1"/>
  </si>
  <si>
    <t xml:space="preserve"> F♯ C♯</t>
    <phoneticPr fontId="1"/>
  </si>
  <si>
    <t>♯×2</t>
  </si>
  <si>
    <t>B minor</t>
    <phoneticPr fontId="1"/>
  </si>
  <si>
    <t xml:space="preserve"> B♭</t>
    <phoneticPr fontId="1"/>
  </si>
  <si>
    <t>♭×1</t>
    <phoneticPr fontId="1"/>
  </si>
  <si>
    <t>D minor</t>
    <phoneticPr fontId="1"/>
  </si>
  <si>
    <t xml:space="preserve"> F♯</t>
    <phoneticPr fontId="1"/>
  </si>
  <si>
    <t>♯×1</t>
    <phoneticPr fontId="1"/>
  </si>
  <si>
    <t>E minor</t>
    <phoneticPr fontId="1"/>
  </si>
  <si>
    <t>フラットする音</t>
    <rPh sb="6" eb="7">
      <t>オト</t>
    </rPh>
    <phoneticPr fontId="1"/>
  </si>
  <si>
    <t>♭VI</t>
    <phoneticPr fontId="1"/>
  </si>
  <si>
    <t>V</t>
    <phoneticPr fontId="1"/>
  </si>
  <si>
    <t>♭III</t>
    <phoneticPr fontId="1"/>
  </si>
  <si>
    <t>II</t>
    <phoneticPr fontId="1"/>
  </si>
  <si>
    <t>I</t>
    <phoneticPr fontId="1"/>
  </si>
  <si>
    <t>調号</t>
    <phoneticPr fontId="1"/>
  </si>
  <si>
    <t>キー</t>
    <phoneticPr fontId="1"/>
  </si>
  <si>
    <t>シャープする音</t>
    <rPh sb="6" eb="7">
      <t>オト</t>
    </rPh>
    <phoneticPr fontId="1"/>
  </si>
  <si>
    <t xml:space="preserve"> フラット系マイナーキー</t>
    <rPh sb="5" eb="6">
      <t>ケイ</t>
    </rPh>
    <phoneticPr fontId="1"/>
  </si>
  <si>
    <t xml:space="preserve"> シャープ系マイナーキー</t>
    <rPh sb="5" eb="6">
      <t>ケイ</t>
    </rPh>
    <phoneticPr fontId="1"/>
  </si>
  <si>
    <t>A minor</t>
    <phoneticPr fontId="1"/>
  </si>
  <si>
    <t xml:space="preserve"> マイナーキー　(minor key)</t>
    <phoneticPr fontId="1"/>
  </si>
  <si>
    <t>(B)</t>
    <phoneticPr fontId="1"/>
  </si>
  <si>
    <t>(F )</t>
    <phoneticPr fontId="1"/>
  </si>
  <si>
    <t>G♭</t>
    <phoneticPr fontId="1"/>
  </si>
  <si>
    <t>G♭ major</t>
    <phoneticPr fontId="1"/>
  </si>
  <si>
    <t>F♯ major</t>
    <phoneticPr fontId="1"/>
  </si>
  <si>
    <t>D♭ major</t>
    <phoneticPr fontId="1"/>
  </si>
  <si>
    <t>B major</t>
    <phoneticPr fontId="1"/>
  </si>
  <si>
    <t>A♭ major</t>
    <phoneticPr fontId="1"/>
  </si>
  <si>
    <t>E major</t>
    <phoneticPr fontId="1"/>
  </si>
  <si>
    <t>E♭ major</t>
    <phoneticPr fontId="1"/>
  </si>
  <si>
    <t>A major</t>
    <phoneticPr fontId="1"/>
  </si>
  <si>
    <t>B♭ major</t>
    <phoneticPr fontId="1"/>
  </si>
  <si>
    <t>D major</t>
    <phoneticPr fontId="1"/>
  </si>
  <si>
    <t>F major</t>
    <phoneticPr fontId="1"/>
  </si>
  <si>
    <t>G major</t>
    <phoneticPr fontId="1"/>
  </si>
  <si>
    <t>VII</t>
    <phoneticPr fontId="1"/>
  </si>
  <si>
    <t>VI</t>
    <phoneticPr fontId="1"/>
  </si>
  <si>
    <t>III</t>
    <phoneticPr fontId="1"/>
  </si>
  <si>
    <t xml:space="preserve"> フラット系メジャーキー</t>
    <rPh sb="5" eb="6">
      <t>ケイ</t>
    </rPh>
    <phoneticPr fontId="1"/>
  </si>
  <si>
    <t xml:space="preserve"> シャープ系メジャーキー</t>
    <rPh sb="5" eb="6">
      <t>ケイ</t>
    </rPh>
    <phoneticPr fontId="1"/>
  </si>
  <si>
    <t>C major</t>
    <phoneticPr fontId="1"/>
  </si>
  <si>
    <t xml:space="preserve"> メジャーキー　(major key)</t>
    <phoneticPr fontId="1"/>
  </si>
  <si>
    <t>(附録) キーリスト</t>
    <rPh sb="1" eb="3">
      <t>フロク</t>
    </rPh>
    <phoneticPr fontId="1"/>
  </si>
  <si>
    <r>
      <t>D</t>
    </r>
    <r>
      <rPr>
        <b/>
        <sz val="11"/>
        <color theme="8" tint="-0.249977111117893"/>
        <rFont val="Meiryo UI"/>
        <family val="3"/>
        <charset val="128"/>
      </rPr>
      <t>♯</t>
    </r>
    <r>
      <rPr>
        <b/>
        <sz val="11"/>
        <color theme="8" tint="-0.249977111117893"/>
        <rFont val="Arial"/>
        <family val="2"/>
      </rPr>
      <t xml:space="preserve"> minor or E</t>
    </r>
    <r>
      <rPr>
        <b/>
        <sz val="11"/>
        <color theme="8" tint="-0.249977111117893"/>
        <rFont val="Meiryo UI"/>
        <family val="3"/>
        <charset val="128"/>
      </rPr>
      <t>♭</t>
    </r>
    <r>
      <rPr>
        <b/>
        <sz val="11"/>
        <color theme="8" tint="-0.249977111117893"/>
        <rFont val="Arial"/>
        <family val="2"/>
      </rPr>
      <t xml:space="preserve"> minor :</t>
    </r>
    <phoneticPr fontId="1"/>
  </si>
  <si>
    <t>Minorshu</t>
    <phoneticPr fontId="1"/>
  </si>
  <si>
    <t>Major/minor :</t>
    <phoneticPr fontId="1"/>
  </si>
  <si>
    <t>F♯ Major</t>
    <phoneticPr fontId="1"/>
  </si>
  <si>
    <t>G♭ Major</t>
    <phoneticPr fontId="1"/>
  </si>
  <si>
    <t>i</t>
    <phoneticPr fontId="1"/>
  </si>
  <si>
    <t>iii</t>
    <phoneticPr fontId="1"/>
  </si>
  <si>
    <t>v</t>
    <phoneticPr fontId="1"/>
  </si>
  <si>
    <t>vii</t>
    <phoneticPr fontId="1"/>
  </si>
  <si>
    <t>D♯ minor</t>
  </si>
  <si>
    <t>Dm</t>
    <phoneticPr fontId="1"/>
  </si>
  <si>
    <t>HPFontColor</t>
    <phoneticPr fontId="1"/>
  </si>
  <si>
    <t>Major/minor</t>
    <phoneticPr fontId="1"/>
  </si>
  <si>
    <t>minor Penta</t>
    <phoneticPr fontId="1"/>
  </si>
  <si>
    <t>Harmonic/Melodic minor</t>
    <phoneticPr fontId="1"/>
  </si>
  <si>
    <t>ChordToneEtc</t>
    <phoneticPr fontId="1"/>
  </si>
  <si>
    <t>iii</t>
    <phoneticPr fontId="1"/>
  </si>
  <si>
    <t>v</t>
    <phoneticPr fontId="1"/>
  </si>
  <si>
    <t>vii</t>
    <phoneticPr fontId="1"/>
  </si>
  <si>
    <t>Root</t>
  </si>
  <si>
    <t>CapoF</t>
    <phoneticPr fontId="1"/>
  </si>
  <si>
    <t>Type of minor Scales :</t>
    <phoneticPr fontId="1"/>
  </si>
  <si>
    <t>Ukulele Position Marks</t>
    <phoneticPr fontId="1"/>
  </si>
  <si>
    <t xml:space="preserve">Mimicopi Otasuke Diatonic Chart </t>
    <phoneticPr fontId="1"/>
  </si>
  <si>
    <t>ooo</t>
    <phoneticPr fontId="1"/>
  </si>
  <si>
    <t>rrr</t>
    <phoneticPr fontId="1"/>
  </si>
  <si>
    <r>
      <t xml:space="preserve">Mimicopi Otasuke Diatonic Chart 1.0 </t>
    </r>
    <r>
      <rPr>
        <i/>
        <sz val="12"/>
        <color rgb="FFFF0000"/>
        <rFont val="Arial"/>
        <family val="2"/>
      </rPr>
      <t xml:space="preserve">-Trial version- </t>
    </r>
    <phoneticPr fontId="1"/>
  </si>
  <si>
    <t>Major</t>
  </si>
  <si>
    <t>E</t>
    <phoneticPr fontId="1"/>
  </si>
  <si>
    <t>B</t>
    <phoneticPr fontId="1"/>
  </si>
  <si>
    <t>G</t>
    <phoneticPr fontId="1"/>
  </si>
  <si>
    <t>D</t>
    <phoneticPr fontId="1"/>
  </si>
  <si>
    <t>A</t>
    <phoneticPr fontId="1"/>
  </si>
  <si>
    <t>C</t>
    <phoneticPr fontId="1"/>
  </si>
  <si>
    <t>E</t>
    <phoneticPr fontId="1"/>
  </si>
  <si>
    <t>A</t>
    <phoneticPr fontId="1"/>
  </si>
  <si>
    <t>G</t>
    <phoneticPr fontId="1"/>
  </si>
  <si>
    <r>
      <t>F</t>
    </r>
    <r>
      <rPr>
        <b/>
        <sz val="11"/>
        <color theme="8" tint="-0.249977111117893"/>
        <rFont val="Meiryo UI"/>
        <family val="3"/>
        <charset val="128"/>
      </rPr>
      <t>♯</t>
    </r>
    <r>
      <rPr>
        <b/>
        <sz val="11"/>
        <color theme="8" tint="-0.249977111117893"/>
        <rFont val="Arial"/>
        <family val="2"/>
      </rPr>
      <t xml:space="preserve"> Major or G</t>
    </r>
    <r>
      <rPr>
        <b/>
        <sz val="11"/>
        <color theme="8" tint="-0.249977111117893"/>
        <rFont val="Meiryo UI"/>
        <family val="3"/>
        <charset val="128"/>
      </rPr>
      <t>♭</t>
    </r>
    <r>
      <rPr>
        <b/>
        <sz val="11"/>
        <color theme="8" tint="-0.249977111117893"/>
        <rFont val="Arial"/>
        <family val="2"/>
      </rPr>
      <t xml:space="preserve"> Major :</t>
    </r>
    <phoneticPr fontId="1"/>
  </si>
  <si>
    <t>Natural minor</t>
  </si>
  <si>
    <t>F♯ Major</t>
  </si>
  <si>
    <t>※( ) is Standard tuning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</si>
</sst>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70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7030A0"/>
      <name val="ＭＳ Ｐゴシック"/>
      <family val="3"/>
      <charset val="128"/>
    </font>
    <font>
      <sz val="11"/>
      <color theme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C00000"/>
      <name val="Arial"/>
      <family val="2"/>
    </font>
    <font>
      <sz val="11"/>
      <color rgb="FF0000FF"/>
      <name val="Arial"/>
      <family val="2"/>
    </font>
    <font>
      <sz val="11"/>
      <color theme="8" tint="-0.499984740745262"/>
      <name val="Arial"/>
      <family val="2"/>
    </font>
    <font>
      <b/>
      <sz val="11"/>
      <color theme="8" tint="-0.499984740745262"/>
      <name val="Arial"/>
      <family val="2"/>
    </font>
    <font>
      <sz val="11"/>
      <color rgb="FF990099"/>
      <name val="Arial"/>
      <family val="2"/>
    </font>
    <font>
      <b/>
      <sz val="11"/>
      <color theme="8" tint="-0.249977111117893"/>
      <name val="Meiryo UI"/>
      <family val="3"/>
      <charset val="128"/>
    </font>
    <font>
      <b/>
      <sz val="10"/>
      <color theme="8" tint="-0.249977111117893"/>
      <name val="Meiryo UI"/>
      <family val="3"/>
      <charset val="128"/>
    </font>
    <font>
      <sz val="11"/>
      <color theme="8"/>
      <name val="Arial"/>
      <family val="2"/>
    </font>
    <font>
      <b/>
      <sz val="11"/>
      <color theme="8" tint="-0.499984740745262"/>
      <name val="Meiryo UI"/>
      <family val="3"/>
      <charset val="128"/>
    </font>
    <font>
      <b/>
      <sz val="11"/>
      <color theme="5" tint="-0.499984740745262"/>
      <name val="Meiryo UI"/>
      <family val="3"/>
      <charset val="128"/>
    </font>
    <font>
      <sz val="11"/>
      <color theme="8" tint="-0.249977111117893"/>
      <name val="Meiryo UI"/>
      <family val="3"/>
      <charset val="128"/>
    </font>
    <font>
      <b/>
      <sz val="11"/>
      <color rgb="FF002060"/>
      <name val="Meiryo UI"/>
      <family val="3"/>
      <charset val="128"/>
    </font>
    <font>
      <b/>
      <sz val="12"/>
      <color theme="5" tint="-0.499984740745262"/>
      <name val="Meiryo UI"/>
      <family val="3"/>
      <charset val="128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5" tint="-0.499984740745262"/>
      <name val="Arial"/>
      <family val="2"/>
    </font>
    <font>
      <sz val="11"/>
      <color theme="0"/>
      <name val="Arial"/>
      <family val="2"/>
    </font>
    <font>
      <b/>
      <i/>
      <sz val="12"/>
      <color rgb="FFFF0000"/>
      <name val="Arial"/>
      <family val="2"/>
    </font>
    <font>
      <b/>
      <u/>
      <sz val="12"/>
      <color theme="8" tint="-0.499984740745262"/>
      <name val="Arial"/>
      <family val="2"/>
    </font>
    <font>
      <sz val="11"/>
      <name val="Arial"/>
      <family val="2"/>
    </font>
    <font>
      <b/>
      <u/>
      <sz val="11"/>
      <color theme="8" tint="-0.499984740745262"/>
      <name val="Arial"/>
      <family val="2"/>
    </font>
    <font>
      <b/>
      <sz val="11"/>
      <color rgb="FF002060"/>
      <name val="Arial"/>
      <family val="2"/>
    </font>
    <font>
      <i/>
      <sz val="11"/>
      <color theme="0"/>
      <name val="Arial"/>
      <family val="2"/>
    </font>
    <font>
      <b/>
      <sz val="11"/>
      <color rgb="FF0000FF"/>
      <name val="Arial"/>
      <family val="2"/>
    </font>
    <font>
      <b/>
      <sz val="11"/>
      <color theme="8" tint="-0.249977111117893"/>
      <name val="Arial"/>
      <family val="2"/>
    </font>
    <font>
      <b/>
      <sz val="11"/>
      <color theme="5" tint="-0.249977111117893"/>
      <name val="Arial"/>
      <family val="2"/>
    </font>
    <font>
      <i/>
      <sz val="12"/>
      <color theme="8" tint="-0.499984740745262"/>
      <name val="Arial"/>
      <family val="2"/>
    </font>
    <font>
      <i/>
      <sz val="12"/>
      <color rgb="FFD60093"/>
      <name val="Arial"/>
      <family val="2"/>
    </font>
    <font>
      <sz val="12"/>
      <color rgb="FFC00000"/>
      <name val="Arial"/>
      <family val="2"/>
    </font>
    <font>
      <sz val="12"/>
      <color theme="8" tint="-0.499984740745262"/>
      <name val="Arial"/>
      <family val="2"/>
    </font>
    <font>
      <sz val="12"/>
      <color rgb="FF990099"/>
      <name val="Arial"/>
      <family val="2"/>
    </font>
    <font>
      <sz val="12"/>
      <color rgb="FFE00000"/>
      <name val="Arial"/>
      <family val="2"/>
    </font>
    <font>
      <i/>
      <sz val="12"/>
      <color theme="8" tint="-0.249977111117893"/>
      <name val="Arial"/>
      <family val="2"/>
    </font>
    <font>
      <b/>
      <sz val="11"/>
      <color rgb="FFFF0066"/>
      <name val="Meiryo UI"/>
      <family val="3"/>
      <charset val="128"/>
    </font>
    <font>
      <sz val="9"/>
      <color rgb="FFC00000"/>
      <name val="Arial"/>
      <family val="2"/>
    </font>
    <font>
      <sz val="9"/>
      <color theme="8" tint="-0.499984740745262"/>
      <name val="Arial"/>
      <family val="2"/>
    </font>
    <font>
      <sz val="9"/>
      <color rgb="FF990099"/>
      <name val="Arial"/>
      <family val="2"/>
    </font>
    <font>
      <sz val="12"/>
      <color rgb="FF0066CC"/>
      <name val="Arial"/>
      <family val="2"/>
    </font>
    <font>
      <b/>
      <sz val="11"/>
      <name val="Arial"/>
      <family val="2"/>
    </font>
    <font>
      <b/>
      <sz val="12"/>
      <color theme="0" tint="-4.9989318521683403E-2"/>
      <name val="Meiryo UI"/>
      <family val="3"/>
      <charset val="128"/>
    </font>
    <font>
      <b/>
      <sz val="14"/>
      <color theme="0" tint="-4.9989318521683403E-2"/>
      <name val="Arial"/>
      <family val="2"/>
    </font>
    <font>
      <b/>
      <sz val="14"/>
      <color theme="0" tint="-4.9989318521683403E-2"/>
      <name val="Meiryo UI"/>
      <family val="3"/>
      <charset val="128"/>
    </font>
    <font>
      <sz val="11"/>
      <color theme="8" tint="-0.499984740745262"/>
      <name val="HGPｺﾞｼｯｸM"/>
      <family val="3"/>
      <charset val="128"/>
    </font>
    <font>
      <sz val="11"/>
      <color rgb="FFC00000"/>
      <name val="HGPｺﾞｼｯｸM"/>
      <family val="3"/>
      <charset val="128"/>
    </font>
    <font>
      <b/>
      <sz val="11"/>
      <color theme="8" tint="-0.499984740745262"/>
      <name val="HGPｺﾞｼｯｸM"/>
      <family val="3"/>
      <charset val="128"/>
    </font>
    <font>
      <sz val="11"/>
      <color theme="8" tint="-0.499984740745262"/>
      <name val="HGS明朝E"/>
      <family val="1"/>
      <charset val="128"/>
    </font>
    <font>
      <sz val="11"/>
      <color rgb="FFC00000"/>
      <name val="HGS明朝E"/>
      <family val="1"/>
      <charset val="128"/>
    </font>
    <font>
      <b/>
      <sz val="12"/>
      <color theme="8" tint="-0.499984740745262"/>
      <name val="HGPｺﾞｼｯｸM"/>
      <family val="3"/>
      <charset val="128"/>
    </font>
    <font>
      <sz val="11"/>
      <color theme="9" tint="-0.249977111117893"/>
      <name val="HGPｺﾞｼｯｸM"/>
      <family val="3"/>
      <charset val="128"/>
    </font>
    <font>
      <b/>
      <sz val="14"/>
      <color theme="0"/>
      <name val="HG丸ｺﾞｼｯｸM-PRO"/>
      <family val="3"/>
      <charset val="128"/>
    </font>
    <font>
      <b/>
      <sz val="16"/>
      <color rgb="FF002060"/>
      <name val="HG丸ｺﾞｼｯｸM-PRO"/>
      <family val="3"/>
      <charset val="128"/>
    </font>
    <font>
      <b/>
      <sz val="11"/>
      <color rgb="FFC00000"/>
      <name val="Meiryo UI"/>
      <family val="3"/>
      <charset val="128"/>
    </font>
    <font>
      <b/>
      <sz val="20"/>
      <color rgb="FF008000"/>
      <name val="Meiryo UI"/>
      <family val="3"/>
      <charset val="128"/>
    </font>
    <font>
      <b/>
      <sz val="12"/>
      <color rgb="FF008000"/>
      <name val="Meiryo UI"/>
      <family val="3"/>
      <charset val="128"/>
    </font>
    <font>
      <sz val="11"/>
      <color theme="8" tint="-0.249977111117893"/>
      <name val="Arial"/>
      <family val="2"/>
    </font>
    <font>
      <i/>
      <sz val="12"/>
      <color rgb="FFFF0000"/>
      <name val="Arial"/>
      <family val="2"/>
    </font>
    <font>
      <sz val="12"/>
      <color rgb="FFA07800"/>
      <name val="Arial"/>
      <family val="2"/>
    </font>
    <font>
      <sz val="16"/>
      <color rgb="FFA07800"/>
      <name val="Arial"/>
      <family val="2"/>
    </font>
    <font>
      <sz val="11"/>
      <color rgb="FFFF3300"/>
      <name val="Arial"/>
      <family val="2"/>
    </font>
    <font>
      <sz val="12"/>
      <color rgb="FFFF3300"/>
      <name val="Arial"/>
      <family val="2"/>
    </font>
    <font>
      <sz val="9"/>
      <color rgb="FFFF33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AF3FA"/>
        <bgColor indexed="64"/>
      </patternFill>
    </fill>
    <fill>
      <gradientFill degree="90">
        <stop position="0">
          <color rgb="FFFDF6E9"/>
        </stop>
        <stop position="1">
          <color rgb="FFFAEDD5"/>
        </stop>
      </gradientFill>
    </fill>
    <fill>
      <patternFill patternType="solid">
        <fgColor rgb="FFE1F4FF"/>
        <bgColor indexed="64"/>
      </patternFill>
    </fill>
    <fill>
      <patternFill patternType="solid">
        <fgColor rgb="FFDEEDD3"/>
        <bgColor indexed="64"/>
      </patternFill>
    </fill>
    <fill>
      <patternFill patternType="solid">
        <fgColor rgb="FFF4F9F1"/>
        <bgColor indexed="64"/>
      </patternFill>
    </fill>
    <fill>
      <gradientFill degree="90">
        <stop position="0">
          <color rgb="FFF5DAB5"/>
        </stop>
        <stop position="1">
          <color rgb="FFF3D2A7"/>
        </stop>
      </gradient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446C2C"/>
        <bgColor indexed="64"/>
      </patternFill>
    </fill>
    <fill>
      <patternFill patternType="solid">
        <fgColor rgb="FF276195"/>
        <bgColor indexed="64"/>
      </patternFill>
    </fill>
    <fill>
      <patternFill patternType="solid">
        <fgColor rgb="FF006699"/>
        <bgColor indexed="64"/>
      </patternFill>
    </fill>
    <fill>
      <patternFill patternType="solid">
        <fgColor rgb="FF7DC598"/>
        <bgColor indexed="64"/>
      </patternFill>
    </fill>
    <fill>
      <patternFill patternType="solid">
        <fgColor rgb="FFD9FFF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</fills>
  <borders count="127">
    <border>
      <left/>
      <right/>
      <top/>
      <bottom/>
      <diagonal/>
    </border>
    <border diagonalDown="1">
      <left/>
      <right/>
      <top/>
      <bottom/>
      <diagonal style="medium">
        <color theme="5" tint="-0.499984740745262"/>
      </diagonal>
    </border>
    <border diagonalUp="1">
      <left/>
      <right/>
      <top/>
      <bottom/>
      <diagonal style="medium">
        <color theme="5" tint="-0.499984740745262"/>
      </diagonal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 style="thin">
        <color theme="8" tint="-0.499984740745262"/>
      </bottom>
      <diagonal/>
    </border>
    <border>
      <left/>
      <right/>
      <top style="medium">
        <color theme="8" tint="-0.499984740745262"/>
      </top>
      <bottom style="thin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thin">
        <color theme="8" tint="-0.499984740745262"/>
      </top>
      <bottom style="hair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hair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thin">
        <color theme="8" tint="-0.499984740745262"/>
      </top>
      <bottom style="hair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hair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hair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hair">
        <color theme="8" tint="-0.499984740745262"/>
      </top>
      <bottom style="medium">
        <color theme="8" tint="-0.499984740745262"/>
      </bottom>
      <diagonal/>
    </border>
    <border>
      <left style="double">
        <color theme="8" tint="-0.499984740745262"/>
      </left>
      <right/>
      <top style="double">
        <color theme="8" tint="-0.499984740745262"/>
      </top>
      <bottom/>
      <diagonal/>
    </border>
    <border>
      <left/>
      <right/>
      <top style="double">
        <color theme="8" tint="-0.499984740745262"/>
      </top>
      <bottom/>
      <diagonal/>
    </border>
    <border>
      <left/>
      <right style="double">
        <color theme="8" tint="-0.499984740745262"/>
      </right>
      <top style="double">
        <color theme="8" tint="-0.499984740745262"/>
      </top>
      <bottom/>
      <diagonal/>
    </border>
    <border>
      <left style="double">
        <color theme="8" tint="-0.499984740745262"/>
      </left>
      <right/>
      <top/>
      <bottom/>
      <diagonal/>
    </border>
    <border>
      <left/>
      <right style="double">
        <color theme="8" tint="-0.499984740745262"/>
      </right>
      <top/>
      <bottom/>
      <diagonal/>
    </border>
    <border>
      <left style="double">
        <color theme="8" tint="-0.499984740745262"/>
      </left>
      <right/>
      <top/>
      <bottom style="double">
        <color theme="8" tint="-0.499984740745262"/>
      </bottom>
      <diagonal/>
    </border>
    <border>
      <left/>
      <right/>
      <top/>
      <bottom style="double">
        <color theme="8" tint="-0.499984740745262"/>
      </bottom>
      <diagonal/>
    </border>
    <border>
      <left/>
      <right style="double">
        <color theme="8" tint="-0.499984740745262"/>
      </right>
      <top/>
      <bottom style="double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hair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hair">
        <color theme="8" tint="-0.499984740745262"/>
      </left>
      <right style="hair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hair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hair">
        <color theme="8" tint="-0.499984740745262"/>
      </left>
      <right style="hair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hair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hair">
        <color theme="8" tint="-0.499984740745262"/>
      </left>
      <right/>
      <top style="thin">
        <color theme="8" tint="-0.499984740745262"/>
      </top>
      <bottom style="medium">
        <color theme="8" tint="-0.499984740745262"/>
      </bottom>
      <diagonal/>
    </border>
    <border>
      <left style="double">
        <color theme="1" tint="0.14996795556505021"/>
      </left>
      <right style="medium">
        <color theme="1" tint="0.34998626667073579"/>
      </right>
      <top style="medium">
        <color theme="5" tint="-0.499984740745262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5" tint="-0.499984740745262"/>
      </top>
      <bottom/>
      <diagonal/>
    </border>
    <border>
      <left style="medium">
        <color theme="1" tint="0.34998626667073579"/>
      </left>
      <right/>
      <top style="medium">
        <color theme="5" tint="-0.499984740745262"/>
      </top>
      <bottom/>
      <diagonal/>
    </border>
    <border>
      <left style="double">
        <color theme="1" tint="0.14996795556505021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/>
      <diagonal/>
    </border>
    <border>
      <left style="double">
        <color theme="1" tint="0.14996795556505021"/>
      </left>
      <right style="medium">
        <color theme="1" tint="0.34998626667073579"/>
      </right>
      <top/>
      <bottom style="medium">
        <color theme="5" tint="-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5" tint="-0.499984740745262"/>
      </bottom>
      <diagonal/>
    </border>
    <border>
      <left style="medium">
        <color theme="1" tint="0.34998626667073579"/>
      </left>
      <right/>
      <top/>
      <bottom style="medium">
        <color theme="5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hair">
        <color theme="8" tint="-0.499984740745262"/>
      </left>
      <right/>
      <top/>
      <bottom style="thin">
        <color theme="8" tint="-0.499984740745262"/>
      </bottom>
      <diagonal/>
    </border>
    <border>
      <left style="hair">
        <color theme="8" tint="-0.499984740745262"/>
      </left>
      <right style="thin">
        <color theme="8" tint="-0.499984740745262"/>
      </right>
      <top style="thin">
        <color theme="8" tint="-0.499984740745262"/>
      </top>
      <bottom style="hair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hair">
        <color theme="8" tint="-0.499984740745262"/>
      </bottom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thin">
        <color theme="8" tint="-0.499984740745262"/>
      </bottom>
      <diagonal/>
    </border>
    <border>
      <left style="medium">
        <color theme="8" tint="-0.24994659260841701"/>
      </left>
      <right style="medium">
        <color theme="8" tint="-0.24994659260841701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24994659260841701"/>
      </left>
      <right style="medium">
        <color theme="8" tint="-0.24994659260841701"/>
      </right>
      <top style="thin">
        <color theme="8" tint="-0.499984740745262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499984740745262"/>
      </right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theme="8" tint="-0.499984740745262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medium">
        <color theme="8" tint="-0.24994659260841701"/>
      </bottom>
      <diagonal/>
    </border>
    <border>
      <left/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/>
      <top/>
      <bottom/>
      <diagonal/>
    </border>
    <border>
      <left/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/>
      <bottom style="medium">
        <color theme="8" tint="-0.24994659260841701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thin">
        <color theme="8" tint="-0.24994659260841701"/>
      </bottom>
      <diagonal/>
    </border>
    <border>
      <left/>
      <right/>
      <top style="medium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 style="medium">
        <color theme="8" tint="-0.499984740745262"/>
      </left>
      <right/>
      <top style="thin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/>
      <right style="thin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medium">
        <color theme="8" tint="-0.499984740745262"/>
      </top>
      <bottom/>
      <diagonal/>
    </border>
    <border>
      <left/>
      <right/>
      <top style="thin">
        <color theme="8" tint="-0.24994659260841701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hair">
        <color theme="8" tint="-0.499984740745262"/>
      </left>
      <right/>
      <top style="thin">
        <color theme="8" tint="-0.499984740745262"/>
      </top>
      <bottom style="hair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/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 style="hair">
        <color theme="1" tint="0.499984740745262"/>
      </left>
      <right/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1" tint="0.499984740745262"/>
      </right>
      <top style="thin">
        <color theme="1" tint="0.499984740745262"/>
      </top>
      <bottom/>
      <diagonal/>
    </border>
    <border>
      <left style="hair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thin">
        <color theme="1" tint="0.499984740745262"/>
      </top>
      <bottom/>
      <diagonal/>
    </border>
    <border>
      <left style="hair">
        <color theme="1" tint="0.499984740745262"/>
      </left>
      <right/>
      <top style="thin">
        <color theme="1" tint="0.499984740745262"/>
      </top>
      <bottom/>
      <diagonal/>
    </border>
    <border>
      <left/>
      <right style="hair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medium">
        <color theme="1" tint="0.499984740745262"/>
      </left>
      <right style="hair">
        <color theme="1" tint="0.499984740745262"/>
      </right>
      <top style="thin">
        <color theme="1" tint="0.499984740745262"/>
      </top>
      <bottom/>
      <diagonal/>
    </border>
    <border>
      <left/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/>
      <bottom style="thin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/>
      <bottom style="thin">
        <color theme="1" tint="0.499984740745262"/>
      </bottom>
      <diagonal/>
    </border>
    <border>
      <left style="hair">
        <color theme="1" tint="0.499984740745262"/>
      </left>
      <right/>
      <top/>
      <bottom style="thin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/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hair">
        <color theme="1" tint="0.499984740745262"/>
      </left>
      <right/>
      <top style="thin">
        <color theme="1" tint="0.499984740745262"/>
      </top>
      <bottom style="double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hair">
        <color theme="1" tint="0.499984740745262"/>
      </left>
      <right/>
      <top style="medium">
        <color theme="1" tint="0.499984740745262"/>
      </top>
      <bottom style="double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 style="medium">
        <color theme="8" tint="-0.24994659260841701"/>
      </right>
      <top style="medium">
        <color theme="8" tint="-0.24994659260841701"/>
      </top>
      <bottom/>
      <diagonal/>
    </border>
    <border>
      <left/>
      <right/>
      <top style="medium">
        <color theme="8" tint="-0.24994659260841701"/>
      </top>
      <bottom/>
      <diagonal/>
    </border>
    <border>
      <left style="medium">
        <color theme="8" tint="-0.24994659260841701"/>
      </left>
      <right/>
      <top style="medium">
        <color theme="8" tint="-0.24994659260841701"/>
      </top>
      <bottom/>
      <diagonal/>
    </border>
  </borders>
  <cellStyleXfs count="1">
    <xf numFmtId="0" fontId="0" fillId="0" borderId="0">
      <alignment vertical="center"/>
    </xf>
  </cellStyleXfs>
  <cellXfs count="28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>
      <alignment vertical="center"/>
    </xf>
    <xf numFmtId="0" fontId="7" fillId="0" borderId="0" xfId="0" applyFont="1">
      <alignment vertical="center"/>
    </xf>
    <xf numFmtId="0" fontId="34" fillId="7" borderId="44" xfId="0" applyFont="1" applyFill="1" applyBorder="1" applyAlignment="1" applyProtection="1">
      <alignment horizontal="center" vertical="center" shrinkToFit="1"/>
      <protection locked="0"/>
    </xf>
    <xf numFmtId="0" fontId="34" fillId="7" borderId="47" xfId="0" applyFont="1" applyFill="1" applyBorder="1" applyAlignment="1" applyProtection="1">
      <alignment horizontal="center" vertical="center" shrinkToFit="1"/>
      <protection locked="0"/>
    </xf>
    <xf numFmtId="0" fontId="34" fillId="7" borderId="48" xfId="0" applyFont="1" applyFill="1" applyBorder="1" applyAlignment="1" applyProtection="1">
      <alignment horizontal="center" vertical="center" shrinkToFit="1"/>
      <protection locked="0"/>
    </xf>
    <xf numFmtId="0" fontId="34" fillId="7" borderId="49" xfId="0" applyFont="1" applyFill="1" applyBorder="1" applyAlignment="1" applyProtection="1">
      <alignment horizontal="center" vertical="center" shrinkToFit="1"/>
      <protection locked="0"/>
    </xf>
    <xf numFmtId="0" fontId="34" fillId="7" borderId="45" xfId="0" applyFont="1" applyFill="1" applyBorder="1" applyAlignment="1" applyProtection="1">
      <alignment horizontal="center" vertical="center" shrinkToFit="1"/>
      <protection locked="0"/>
    </xf>
    <xf numFmtId="0" fontId="34" fillId="7" borderId="46" xfId="0" applyFont="1" applyFill="1" applyBorder="1" applyAlignment="1" applyProtection="1">
      <alignment horizontal="center" vertical="center" shrinkToFit="1"/>
      <protection locked="0"/>
    </xf>
    <xf numFmtId="0" fontId="24" fillId="16" borderId="3" xfId="0" applyFont="1" applyFill="1" applyBorder="1" applyAlignment="1" applyProtection="1">
      <alignment horizontal="center" vertical="center" shrinkToFit="1"/>
      <protection locked="0"/>
    </xf>
    <xf numFmtId="176" fontId="21" fillId="16" borderId="3" xfId="0" applyNumberFormat="1" applyFont="1" applyFill="1" applyBorder="1" applyAlignment="1" applyProtection="1">
      <alignment horizontal="center" vertical="center" shrinkToFit="1"/>
      <protection locked="0"/>
    </xf>
    <xf numFmtId="0" fontId="18" fillId="16" borderId="3" xfId="0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 shrinkToFit="1"/>
    </xf>
    <xf numFmtId="0" fontId="0" fillId="20" borderId="0" xfId="0" applyFill="1">
      <alignment vertical="center"/>
    </xf>
    <xf numFmtId="0" fontId="0" fillId="0" borderId="0" xfId="0" applyFill="1" applyProtection="1">
      <alignment vertical="center"/>
      <protection hidden="1"/>
    </xf>
    <xf numFmtId="0" fontId="41" fillId="0" borderId="0" xfId="0" applyFont="1" applyBorder="1" applyAlignment="1" applyProtection="1">
      <alignment horizontal="right" vertical="center"/>
      <protection hidden="1"/>
    </xf>
    <xf numFmtId="0" fontId="0" fillId="0" borderId="0" xfId="0" applyProtection="1">
      <alignment vertical="center"/>
      <protection hidden="1"/>
    </xf>
    <xf numFmtId="0" fontId="58" fillId="23" borderId="126" xfId="0" applyFont="1" applyFill="1" applyBorder="1" applyAlignment="1" applyProtection="1">
      <alignment vertical="center"/>
      <protection hidden="1"/>
    </xf>
    <xf numFmtId="0" fontId="51" fillId="23" borderId="125" xfId="0" applyFont="1" applyFill="1" applyBorder="1" applyProtection="1">
      <alignment vertical="center"/>
      <protection hidden="1"/>
    </xf>
    <xf numFmtId="0" fontId="51" fillId="23" borderId="125" xfId="0" applyFont="1" applyFill="1" applyBorder="1" applyAlignment="1" applyProtection="1">
      <alignment vertical="center"/>
      <protection hidden="1"/>
    </xf>
    <xf numFmtId="0" fontId="51" fillId="23" borderId="124" xfId="0" applyFont="1" applyFill="1" applyBorder="1" applyProtection="1">
      <alignment vertical="center"/>
      <protection hidden="1"/>
    </xf>
    <xf numFmtId="0" fontId="51" fillId="0" borderId="52" xfId="0" applyFont="1" applyBorder="1" applyProtection="1">
      <alignment vertical="center"/>
      <protection hidden="1"/>
    </xf>
    <xf numFmtId="0" fontId="51" fillId="0" borderId="0" xfId="0" applyFont="1" applyBorder="1" applyProtection="1">
      <alignment vertical="center"/>
      <protection hidden="1"/>
    </xf>
    <xf numFmtId="0" fontId="51" fillId="0" borderId="53" xfId="0" applyFont="1" applyBorder="1" applyProtection="1">
      <alignment vertical="center"/>
      <protection hidden="1"/>
    </xf>
    <xf numFmtId="0" fontId="51" fillId="0" borderId="120" xfId="0" applyFont="1" applyBorder="1" applyAlignment="1" applyProtection="1">
      <alignment horizontal="center" vertical="center"/>
      <protection hidden="1"/>
    </xf>
    <xf numFmtId="0" fontId="51" fillId="0" borderId="119" xfId="0" applyFont="1" applyBorder="1" applyAlignment="1" applyProtection="1">
      <alignment horizontal="center" vertical="center"/>
      <protection hidden="1"/>
    </xf>
    <xf numFmtId="0" fontId="55" fillId="0" borderId="118" xfId="0" applyFont="1" applyBorder="1" applyAlignment="1" applyProtection="1">
      <alignment horizontal="center" vertical="center" shrinkToFit="1"/>
      <protection hidden="1"/>
    </xf>
    <xf numFmtId="0" fontId="54" fillId="2" borderId="117" xfId="0" applyFont="1" applyFill="1" applyBorder="1" applyAlignment="1" applyProtection="1">
      <alignment horizontal="center" vertical="center" shrinkToFit="1"/>
      <protection hidden="1"/>
    </xf>
    <xf numFmtId="0" fontId="54" fillId="0" borderId="117" xfId="0" applyFont="1" applyBorder="1" applyAlignment="1" applyProtection="1">
      <alignment horizontal="center" vertical="center" shrinkToFit="1"/>
      <protection hidden="1"/>
    </xf>
    <xf numFmtId="0" fontId="54" fillId="0" borderId="116" xfId="0" applyFont="1" applyBorder="1" applyAlignment="1" applyProtection="1">
      <alignment horizontal="center" vertical="center" shrinkToFit="1"/>
      <protection hidden="1"/>
    </xf>
    <xf numFmtId="0" fontId="53" fillId="0" borderId="83" xfId="0" applyFont="1" applyBorder="1" applyAlignment="1" applyProtection="1">
      <alignment horizontal="center" vertical="center"/>
      <protection hidden="1"/>
    </xf>
    <xf numFmtId="0" fontId="51" fillId="0" borderId="79" xfId="0" applyFont="1" applyBorder="1" applyAlignment="1" applyProtection="1">
      <alignment horizontal="center" vertical="center"/>
      <protection hidden="1"/>
    </xf>
    <xf numFmtId="0" fontId="52" fillId="0" borderId="78" xfId="0" applyFont="1" applyBorder="1" applyAlignment="1" applyProtection="1">
      <alignment horizontal="center" vertical="center" shrinkToFit="1"/>
      <protection hidden="1"/>
    </xf>
    <xf numFmtId="0" fontId="51" fillId="2" borderId="77" xfId="0" applyFont="1" applyFill="1" applyBorder="1" applyAlignment="1" applyProtection="1">
      <alignment horizontal="center" vertical="center" shrinkToFit="1"/>
      <protection hidden="1"/>
    </xf>
    <xf numFmtId="0" fontId="51" fillId="0" borderId="77" xfId="0" applyFont="1" applyBorder="1" applyAlignment="1" applyProtection="1">
      <alignment horizontal="center" vertical="center" shrinkToFit="1"/>
      <protection hidden="1"/>
    </xf>
    <xf numFmtId="0" fontId="51" fillId="0" borderId="115" xfId="0" applyFont="1" applyBorder="1" applyAlignment="1" applyProtection="1">
      <alignment horizontal="center" vertical="center" shrinkToFit="1"/>
      <protection hidden="1"/>
    </xf>
    <xf numFmtId="0" fontId="51" fillId="0" borderId="0" xfId="0" applyFont="1" applyBorder="1" applyAlignment="1" applyProtection="1">
      <alignment vertical="center"/>
      <protection hidden="1"/>
    </xf>
    <xf numFmtId="0" fontId="51" fillId="0" borderId="111" xfId="0" applyFont="1" applyBorder="1" applyAlignment="1" applyProtection="1">
      <alignment horizontal="center" vertical="center" shrinkToFit="1"/>
      <protection hidden="1"/>
    </xf>
    <xf numFmtId="0" fontId="51" fillId="0" borderId="110" xfId="0" applyFont="1" applyBorder="1" applyAlignment="1" applyProtection="1">
      <alignment horizontal="center" vertical="center" shrinkToFit="1"/>
      <protection hidden="1"/>
    </xf>
    <xf numFmtId="0" fontId="55" fillId="0" borderId="109" xfId="0" applyFont="1" applyBorder="1" applyAlignment="1" applyProtection="1">
      <alignment horizontal="center" vertical="center" shrinkToFit="1"/>
      <protection hidden="1"/>
    </xf>
    <xf numFmtId="0" fontId="54" fillId="2" borderId="108" xfId="0" applyFont="1" applyFill="1" applyBorder="1" applyAlignment="1" applyProtection="1">
      <alignment horizontal="center" vertical="center" shrinkToFit="1"/>
      <protection hidden="1"/>
    </xf>
    <xf numFmtId="0" fontId="54" fillId="0" borderId="108" xfId="0" applyFont="1" applyBorder="1" applyAlignment="1" applyProtection="1">
      <alignment horizontal="center" vertical="center" shrinkToFit="1"/>
      <protection hidden="1"/>
    </xf>
    <xf numFmtId="0" fontId="54" fillId="0" borderId="107" xfId="0" applyFont="1" applyBorder="1" applyAlignment="1" applyProtection="1">
      <alignment horizontal="center" vertical="center" shrinkToFit="1"/>
      <protection hidden="1"/>
    </xf>
    <xf numFmtId="0" fontId="51" fillId="0" borderId="106" xfId="0" applyFont="1" applyBorder="1" applyAlignment="1" applyProtection="1">
      <alignment horizontal="center" vertical="center" shrinkToFit="1"/>
      <protection hidden="1"/>
    </xf>
    <xf numFmtId="0" fontId="53" fillId="0" borderId="105" xfId="0" applyFont="1" applyBorder="1" applyAlignment="1" applyProtection="1">
      <alignment horizontal="center" vertical="center" shrinkToFit="1"/>
      <protection hidden="1"/>
    </xf>
    <xf numFmtId="0" fontId="51" fillId="0" borderId="104" xfId="0" applyFont="1" applyBorder="1" applyAlignment="1" applyProtection="1">
      <alignment horizontal="center" vertical="center" shrinkToFit="1"/>
      <protection hidden="1"/>
    </xf>
    <xf numFmtId="0" fontId="52" fillId="0" borderId="103" xfId="0" applyFont="1" applyBorder="1" applyAlignment="1" applyProtection="1">
      <alignment horizontal="center" vertical="center" shrinkToFit="1"/>
      <protection hidden="1"/>
    </xf>
    <xf numFmtId="0" fontId="51" fillId="2" borderId="102" xfId="0" applyFont="1" applyFill="1" applyBorder="1" applyAlignment="1" applyProtection="1">
      <alignment horizontal="center" vertical="center" shrinkToFit="1"/>
      <protection hidden="1"/>
    </xf>
    <xf numFmtId="0" fontId="51" fillId="0" borderId="102" xfId="0" applyFont="1" applyBorder="1" applyAlignment="1" applyProtection="1">
      <alignment horizontal="center" vertical="center" shrinkToFit="1"/>
      <protection hidden="1"/>
    </xf>
    <xf numFmtId="0" fontId="51" fillId="21" borderId="101" xfId="0" applyFont="1" applyFill="1" applyBorder="1" applyAlignment="1" applyProtection="1">
      <alignment horizontal="center" vertical="center" shrinkToFit="1"/>
      <protection hidden="1"/>
    </xf>
    <xf numFmtId="0" fontId="51" fillId="0" borderId="100" xfId="0" applyFont="1" applyBorder="1" applyAlignment="1" applyProtection="1">
      <alignment horizontal="left" vertical="center" shrinkToFit="1"/>
      <protection hidden="1"/>
    </xf>
    <xf numFmtId="0" fontId="51" fillId="21" borderId="102" xfId="0" applyFont="1" applyFill="1" applyBorder="1" applyAlignment="1" applyProtection="1">
      <alignment horizontal="center" vertical="center" shrinkToFit="1"/>
      <protection hidden="1"/>
    </xf>
    <xf numFmtId="0" fontId="51" fillId="0" borderId="101" xfId="0" applyFont="1" applyBorder="1" applyAlignment="1" applyProtection="1">
      <alignment horizontal="center" vertical="center" shrinkToFit="1"/>
      <protection hidden="1"/>
    </xf>
    <xf numFmtId="0" fontId="53" fillId="0" borderId="99" xfId="0" applyFont="1" applyBorder="1" applyAlignment="1" applyProtection="1">
      <alignment horizontal="center" vertical="center" shrinkToFit="1"/>
      <protection hidden="1"/>
    </xf>
    <xf numFmtId="0" fontId="51" fillId="0" borderId="98" xfId="0" applyFont="1" applyBorder="1" applyAlignment="1" applyProtection="1">
      <alignment horizontal="center" vertical="center" shrinkToFit="1"/>
      <protection hidden="1"/>
    </xf>
    <xf numFmtId="0" fontId="52" fillId="0" borderId="97" xfId="0" applyFont="1" applyBorder="1" applyAlignment="1" applyProtection="1">
      <alignment horizontal="center" vertical="center" shrinkToFit="1"/>
      <protection hidden="1"/>
    </xf>
    <xf numFmtId="0" fontId="51" fillId="2" borderId="96" xfId="0" applyFont="1" applyFill="1" applyBorder="1" applyAlignment="1" applyProtection="1">
      <alignment horizontal="center" vertical="center" shrinkToFit="1"/>
      <protection hidden="1"/>
    </xf>
    <xf numFmtId="0" fontId="51" fillId="0" borderId="96" xfId="0" applyFont="1" applyBorder="1" applyAlignment="1" applyProtection="1">
      <alignment horizontal="center" vertical="center" shrinkToFit="1"/>
      <protection hidden="1"/>
    </xf>
    <xf numFmtId="0" fontId="51" fillId="21" borderId="96" xfId="0" applyFont="1" applyFill="1" applyBorder="1" applyAlignment="1" applyProtection="1">
      <alignment horizontal="center" vertical="center" shrinkToFit="1"/>
      <protection hidden="1"/>
    </xf>
    <xf numFmtId="0" fontId="51" fillId="21" borderId="95" xfId="0" applyFont="1" applyFill="1" applyBorder="1" applyAlignment="1" applyProtection="1">
      <alignment horizontal="center" vertical="center" shrinkToFit="1"/>
      <protection hidden="1"/>
    </xf>
    <xf numFmtId="0" fontId="51" fillId="0" borderId="94" xfId="0" applyFont="1" applyBorder="1" applyAlignment="1" applyProtection="1">
      <alignment horizontal="left" vertical="center" shrinkToFit="1"/>
      <protection hidden="1"/>
    </xf>
    <xf numFmtId="0" fontId="52" fillId="21" borderId="97" xfId="0" applyFont="1" applyFill="1" applyBorder="1" applyAlignment="1" applyProtection="1">
      <alignment horizontal="center" vertical="center" shrinkToFit="1"/>
      <protection hidden="1"/>
    </xf>
    <xf numFmtId="0" fontId="51" fillId="0" borderId="95" xfId="0" applyFont="1" applyBorder="1" applyAlignment="1" applyProtection="1">
      <alignment horizontal="center" vertical="center" shrinkToFit="1"/>
      <protection hidden="1"/>
    </xf>
    <xf numFmtId="0" fontId="51" fillId="21" borderId="86" xfId="0" applyFont="1" applyFill="1" applyBorder="1" applyAlignment="1" applyProtection="1">
      <alignment horizontal="center" vertical="center" shrinkToFit="1"/>
      <protection hidden="1"/>
    </xf>
    <xf numFmtId="0" fontId="51" fillId="21" borderId="87" xfId="0" applyFont="1" applyFill="1" applyBorder="1" applyAlignment="1" applyProtection="1">
      <alignment horizontal="center" vertical="center" shrinkToFit="1"/>
      <protection hidden="1"/>
    </xf>
    <xf numFmtId="0" fontId="51" fillId="21" borderId="76" xfId="0" applyFont="1" applyFill="1" applyBorder="1" applyAlignment="1" applyProtection="1">
      <alignment horizontal="center" vertical="center" shrinkToFit="1"/>
      <protection hidden="1"/>
    </xf>
    <xf numFmtId="0" fontId="51" fillId="21" borderId="77" xfId="0" applyFont="1" applyFill="1" applyBorder="1" applyAlignment="1" applyProtection="1">
      <alignment horizontal="center" vertical="center" shrinkToFit="1"/>
      <protection hidden="1"/>
    </xf>
    <xf numFmtId="0" fontId="51" fillId="0" borderId="54" xfId="0" applyFont="1" applyBorder="1" applyProtection="1">
      <alignment vertical="center"/>
      <protection hidden="1"/>
    </xf>
    <xf numFmtId="0" fontId="51" fillId="0" borderId="55" xfId="0" applyFont="1" applyBorder="1" applyProtection="1">
      <alignment vertical="center"/>
      <protection hidden="1"/>
    </xf>
    <xf numFmtId="0" fontId="51" fillId="0" borderId="56" xfId="0" applyFont="1" applyBorder="1" applyProtection="1">
      <alignment vertical="center"/>
      <protection hidden="1"/>
    </xf>
    <xf numFmtId="0" fontId="51" fillId="0" borderId="0" xfId="0" applyFont="1" applyProtection="1">
      <alignment vertical="center"/>
      <protection hidden="1"/>
    </xf>
    <xf numFmtId="0" fontId="58" fillId="22" borderId="123" xfId="0" applyFont="1" applyFill="1" applyBorder="1" applyAlignment="1" applyProtection="1">
      <alignment vertical="center"/>
      <protection hidden="1"/>
    </xf>
    <xf numFmtId="0" fontId="57" fillId="22" borderId="122" xfId="0" applyFont="1" applyFill="1" applyBorder="1" applyAlignment="1" applyProtection="1">
      <alignment vertical="center"/>
      <protection hidden="1"/>
    </xf>
    <xf numFmtId="0" fontId="57" fillId="22" borderId="121" xfId="0" applyFont="1" applyFill="1" applyBorder="1" applyProtection="1">
      <alignment vertical="center"/>
      <protection hidden="1"/>
    </xf>
    <xf numFmtId="0" fontId="51" fillId="0" borderId="84" xfId="0" applyFont="1" applyBorder="1" applyProtection="1">
      <alignment vertical="center"/>
      <protection hidden="1"/>
    </xf>
    <xf numFmtId="0" fontId="51" fillId="0" borderId="74" xfId="0" applyFont="1" applyBorder="1" applyProtection="1">
      <alignment vertical="center"/>
      <protection hidden="1"/>
    </xf>
    <xf numFmtId="0" fontId="54" fillId="0" borderId="118" xfId="0" applyFont="1" applyBorder="1" applyAlignment="1" applyProtection="1">
      <alignment horizontal="center" vertical="center" shrinkToFit="1"/>
      <protection hidden="1"/>
    </xf>
    <xf numFmtId="0" fontId="54" fillId="2" borderId="116" xfId="0" applyFont="1" applyFill="1" applyBorder="1" applyAlignment="1" applyProtection="1">
      <alignment horizontal="center" vertical="center" shrinkToFit="1"/>
      <protection hidden="1"/>
    </xf>
    <xf numFmtId="0" fontId="51" fillId="0" borderId="78" xfId="0" applyFont="1" applyBorder="1" applyAlignment="1" applyProtection="1">
      <alignment horizontal="center" vertical="center" shrinkToFit="1"/>
      <protection hidden="1"/>
    </xf>
    <xf numFmtId="0" fontId="51" fillId="0" borderId="77" xfId="0" applyFont="1" applyFill="1" applyBorder="1" applyAlignment="1" applyProtection="1">
      <alignment horizontal="center" vertical="center" shrinkToFit="1"/>
      <protection hidden="1"/>
    </xf>
    <xf numFmtId="0" fontId="51" fillId="2" borderId="115" xfId="0" applyFont="1" applyFill="1" applyBorder="1" applyAlignment="1" applyProtection="1">
      <alignment horizontal="center" vertical="center" shrinkToFit="1"/>
      <protection hidden="1"/>
    </xf>
    <xf numFmtId="0" fontId="54" fillId="0" borderId="108" xfId="0" applyFont="1" applyFill="1" applyBorder="1" applyAlignment="1" applyProtection="1">
      <alignment horizontal="center" vertical="center" shrinkToFit="1"/>
      <protection hidden="1"/>
    </xf>
    <xf numFmtId="0" fontId="54" fillId="2" borderId="107" xfId="0" applyFont="1" applyFill="1" applyBorder="1" applyAlignment="1" applyProtection="1">
      <alignment horizontal="center" vertical="center" shrinkToFit="1"/>
      <protection hidden="1"/>
    </xf>
    <xf numFmtId="0" fontId="51" fillId="0" borderId="102" xfId="0" applyFont="1" applyFill="1" applyBorder="1" applyAlignment="1" applyProtection="1">
      <alignment horizontal="center" vertical="center" shrinkToFit="1"/>
      <protection hidden="1"/>
    </xf>
    <xf numFmtId="0" fontId="51" fillId="2" borderId="101" xfId="0" applyFont="1" applyFill="1" applyBorder="1" applyAlignment="1" applyProtection="1">
      <alignment horizontal="center" vertical="center" shrinkToFit="1"/>
      <protection hidden="1"/>
    </xf>
    <xf numFmtId="0" fontId="51" fillId="0" borderId="96" xfId="0" applyFont="1" applyFill="1" applyBorder="1" applyAlignment="1" applyProtection="1">
      <alignment horizontal="center" vertical="center" shrinkToFit="1"/>
      <protection hidden="1"/>
    </xf>
    <xf numFmtId="0" fontId="51" fillId="2" borderId="95" xfId="0" applyFont="1" applyFill="1" applyBorder="1" applyAlignment="1" applyProtection="1">
      <alignment horizontal="center" vertical="center" shrinkToFit="1"/>
      <protection hidden="1"/>
    </xf>
    <xf numFmtId="0" fontId="51" fillId="0" borderId="73" xfId="0" applyFont="1" applyBorder="1" applyProtection="1">
      <alignment vertical="center"/>
      <protection hidden="1"/>
    </xf>
    <xf numFmtId="0" fontId="51" fillId="0" borderId="72" xfId="0" applyFont="1" applyBorder="1" applyProtection="1">
      <alignment vertical="center"/>
      <protection hidden="1"/>
    </xf>
    <xf numFmtId="0" fontId="51" fillId="0" borderId="71" xfId="0" applyFont="1" applyBorder="1" applyProtection="1">
      <alignment vertical="center"/>
      <protection hidden="1"/>
    </xf>
    <xf numFmtId="0" fontId="22" fillId="0" borderId="15" xfId="0" applyFont="1" applyBorder="1" applyProtection="1">
      <alignment vertical="center"/>
      <protection hidden="1"/>
    </xf>
    <xf numFmtId="0" fontId="23" fillId="0" borderId="16" xfId="0" applyFont="1" applyBorder="1" applyAlignment="1" applyProtection="1">
      <alignment horizontal="center" vertical="center"/>
      <protection hidden="1"/>
    </xf>
    <xf numFmtId="0" fontId="22" fillId="0" borderId="16" xfId="0" applyFont="1" applyBorder="1" applyProtection="1">
      <alignment vertical="center"/>
      <protection hidden="1"/>
    </xf>
    <xf numFmtId="0" fontId="23" fillId="0" borderId="16" xfId="0" applyFont="1" applyBorder="1" applyProtection="1">
      <alignment vertical="center"/>
      <protection hidden="1"/>
    </xf>
    <xf numFmtId="0" fontId="41" fillId="0" borderId="17" xfId="0" applyFont="1" applyBorder="1" applyAlignment="1" applyProtection="1">
      <alignment horizontal="right" vertical="center"/>
      <protection hidden="1"/>
    </xf>
    <xf numFmtId="0" fontId="22" fillId="0" borderId="18" xfId="0" applyFont="1" applyBorder="1" applyProtection="1">
      <alignment vertical="center"/>
      <protection hidden="1"/>
    </xf>
    <xf numFmtId="0" fontId="12" fillId="0" borderId="0" xfId="0" applyFont="1" applyBorder="1" applyAlignment="1" applyProtection="1">
      <alignment vertical="center"/>
      <protection hidden="1"/>
    </xf>
    <xf numFmtId="0" fontId="22" fillId="0" borderId="0" xfId="0" applyFont="1" applyBorder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22" fillId="0" borderId="0" xfId="0" applyFont="1" applyProtection="1">
      <alignment vertical="center"/>
      <protection hidden="1"/>
    </xf>
    <xf numFmtId="0" fontId="12" fillId="0" borderId="0" xfId="0" applyFont="1" applyBorder="1" applyProtection="1">
      <alignment vertical="center"/>
      <protection hidden="1"/>
    </xf>
    <xf numFmtId="0" fontId="17" fillId="0" borderId="0" xfId="0" applyFont="1" applyFill="1" applyBorder="1" applyProtection="1">
      <alignment vertical="center"/>
      <protection hidden="1"/>
    </xf>
    <xf numFmtId="0" fontId="60" fillId="0" borderId="0" xfId="0" applyFont="1" applyFill="1" applyBorder="1" applyAlignment="1" applyProtection="1">
      <alignment horizontal="right" vertical="center"/>
      <protection hidden="1"/>
    </xf>
    <xf numFmtId="0" fontId="60" fillId="0" borderId="0" xfId="0" applyFont="1" applyFill="1" applyBorder="1" applyAlignment="1" applyProtection="1">
      <alignment horizontal="left" vertical="center"/>
      <protection hidden="1"/>
    </xf>
    <xf numFmtId="0" fontId="3" fillId="0" borderId="0" xfId="0" applyFont="1" applyProtection="1">
      <alignment vertical="center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0" fontId="22" fillId="0" borderId="19" xfId="0" applyFont="1" applyBorder="1" applyProtection="1">
      <alignment vertical="center"/>
      <protection hidden="1"/>
    </xf>
    <xf numFmtId="0" fontId="12" fillId="0" borderId="0" xfId="0" applyFont="1" applyBorder="1" applyAlignment="1" applyProtection="1">
      <alignment vertical="center" shrinkToFit="1"/>
      <protection hidden="1"/>
    </xf>
    <xf numFmtId="0" fontId="63" fillId="0" borderId="0" xfId="0" quotePrefix="1" applyFont="1" applyFill="1" applyBorder="1" applyAlignment="1" applyProtection="1">
      <alignment vertical="center"/>
      <protection hidden="1"/>
    </xf>
    <xf numFmtId="0" fontId="23" fillId="0" borderId="0" xfId="0" applyFont="1" applyBorder="1" applyAlignment="1" applyProtection="1">
      <alignment horizontal="center" vertical="center"/>
      <protection hidden="1"/>
    </xf>
    <xf numFmtId="0" fontId="23" fillId="0" borderId="0" xfId="0" applyFont="1" applyBorder="1" applyProtection="1">
      <alignment vertical="center"/>
      <protection hidden="1"/>
    </xf>
    <xf numFmtId="0" fontId="48" fillId="18" borderId="6" xfId="0" applyFont="1" applyFill="1" applyBorder="1" applyProtection="1">
      <alignment vertical="center"/>
      <protection hidden="1"/>
    </xf>
    <xf numFmtId="0" fontId="25" fillId="18" borderId="7" xfId="0" applyFont="1" applyFill="1" applyBorder="1" applyProtection="1">
      <alignment vertical="center"/>
      <protection hidden="1"/>
    </xf>
    <xf numFmtId="0" fontId="25" fillId="18" borderId="8" xfId="0" applyFont="1" applyFill="1" applyBorder="1" applyProtection="1">
      <alignment vertical="center"/>
      <protection hidden="1"/>
    </xf>
    <xf numFmtId="0" fontId="11" fillId="10" borderId="9" xfId="0" applyFont="1" applyFill="1" applyBorder="1" applyAlignment="1" applyProtection="1">
      <alignment horizontal="center" vertical="center"/>
      <protection hidden="1"/>
    </xf>
    <xf numFmtId="0" fontId="11" fillId="10" borderId="10" xfId="0" applyFont="1" applyFill="1" applyBorder="1" applyAlignment="1" applyProtection="1">
      <alignment horizontal="center" vertical="center"/>
      <protection hidden="1"/>
    </xf>
    <xf numFmtId="0" fontId="11" fillId="10" borderId="11" xfId="0" applyFont="1" applyFill="1" applyBorder="1" applyAlignment="1" applyProtection="1">
      <alignment horizontal="center" vertical="center"/>
      <protection hidden="1"/>
    </xf>
    <xf numFmtId="0" fontId="40" fillId="0" borderId="12" xfId="0" applyFont="1" applyFill="1" applyBorder="1" applyAlignment="1" applyProtection="1">
      <alignment horizontal="center" vertical="center"/>
      <protection hidden="1"/>
    </xf>
    <xf numFmtId="0" fontId="22" fillId="0" borderId="1" xfId="0" applyFont="1" applyBorder="1" applyProtection="1">
      <alignment vertical="center"/>
      <protection hidden="1"/>
    </xf>
    <xf numFmtId="0" fontId="35" fillId="0" borderId="0" xfId="0" applyFont="1" applyBorder="1" applyAlignment="1" applyProtection="1">
      <alignment horizontal="right"/>
      <protection hidden="1"/>
    </xf>
    <xf numFmtId="0" fontId="36" fillId="0" borderId="0" xfId="0" applyFont="1" applyBorder="1" applyAlignment="1" applyProtection="1">
      <alignment horizontal="right"/>
      <protection hidden="1"/>
    </xf>
    <xf numFmtId="0" fontId="26" fillId="0" borderId="0" xfId="0" applyFont="1" applyBorder="1" applyAlignment="1" applyProtection="1">
      <alignment horizontal="right"/>
      <protection hidden="1"/>
    </xf>
    <xf numFmtId="0" fontId="22" fillId="9" borderId="33" xfId="0" applyFont="1" applyFill="1" applyBorder="1" applyProtection="1">
      <alignment vertical="center"/>
      <protection hidden="1"/>
    </xf>
    <xf numFmtId="0" fontId="28" fillId="0" borderId="18" xfId="0" applyFont="1" applyBorder="1" applyProtection="1">
      <alignment vertical="center"/>
      <protection hidden="1"/>
    </xf>
    <xf numFmtId="0" fontId="22" fillId="9" borderId="36" xfId="0" applyFont="1" applyFill="1" applyBorder="1" applyProtection="1">
      <alignment vertical="center"/>
      <protection hidden="1"/>
    </xf>
    <xf numFmtId="0" fontId="22" fillId="9" borderId="39" xfId="0" applyFont="1" applyFill="1" applyBorder="1" applyProtection="1">
      <alignment vertical="center"/>
      <protection hidden="1"/>
    </xf>
    <xf numFmtId="0" fontId="22" fillId="0" borderId="2" xfId="0" applyFont="1" applyBorder="1" applyProtection="1">
      <alignment vertical="center"/>
      <protection hidden="1"/>
    </xf>
    <xf numFmtId="0" fontId="27" fillId="0" borderId="0" xfId="0" applyFont="1" applyBorder="1" applyAlignment="1" applyProtection="1">
      <alignment horizontal="center"/>
      <protection hidden="1"/>
    </xf>
    <xf numFmtId="0" fontId="28" fillId="0" borderId="0" xfId="0" applyFont="1" applyBorder="1" applyProtection="1">
      <alignment vertical="center"/>
      <protection hidden="1"/>
    </xf>
    <xf numFmtId="0" fontId="12" fillId="0" borderId="0" xfId="0" applyFont="1" applyBorder="1" applyAlignment="1" applyProtection="1">
      <alignment horizontal="center" vertical="top"/>
      <protection hidden="1"/>
    </xf>
    <xf numFmtId="0" fontId="30" fillId="0" borderId="0" xfId="0" applyFont="1" applyBorder="1" applyAlignment="1" applyProtection="1">
      <alignment horizontal="center" vertical="top"/>
      <protection hidden="1"/>
    </xf>
    <xf numFmtId="0" fontId="22" fillId="0" borderId="0" xfId="0" applyFont="1" applyBorder="1" applyAlignment="1" applyProtection="1">
      <alignment horizontal="right"/>
      <protection hidden="1"/>
    </xf>
    <xf numFmtId="0" fontId="22" fillId="9" borderId="33" xfId="0" applyFont="1" applyFill="1" applyBorder="1" applyAlignment="1" applyProtection="1">
      <alignment horizontal="center" vertical="center"/>
      <protection hidden="1"/>
    </xf>
    <xf numFmtId="0" fontId="22" fillId="9" borderId="36" xfId="0" applyFont="1" applyFill="1" applyBorder="1" applyAlignment="1" applyProtection="1">
      <alignment horizontal="center" vertical="center"/>
      <protection hidden="1"/>
    </xf>
    <xf numFmtId="0" fontId="22" fillId="9" borderId="39" xfId="0" applyFont="1" applyFill="1" applyBorder="1" applyAlignment="1" applyProtection="1">
      <alignment horizontal="center" vertical="center"/>
      <protection hidden="1"/>
    </xf>
    <xf numFmtId="0" fontId="29" fillId="0" borderId="0" xfId="0" applyFont="1" applyBorder="1" applyAlignment="1" applyProtection="1">
      <alignment horizontal="center"/>
      <protection hidden="1"/>
    </xf>
    <xf numFmtId="0" fontId="28" fillId="0" borderId="0" xfId="0" applyFont="1" applyBorder="1" applyAlignment="1" applyProtection="1">
      <alignment vertical="center"/>
      <protection hidden="1"/>
    </xf>
    <xf numFmtId="0" fontId="22" fillId="0" borderId="0" xfId="0" applyFont="1" applyBorder="1" applyAlignment="1" applyProtection="1">
      <alignment vertical="center"/>
      <protection hidden="1"/>
    </xf>
    <xf numFmtId="0" fontId="48" fillId="17" borderId="6" xfId="0" applyFont="1" applyFill="1" applyBorder="1" applyProtection="1">
      <alignment vertical="center"/>
      <protection hidden="1"/>
    </xf>
    <xf numFmtId="0" fontId="31" fillId="17" borderId="7" xfId="0" applyFont="1" applyFill="1" applyBorder="1" applyProtection="1">
      <alignment vertical="center"/>
      <protection hidden="1"/>
    </xf>
    <xf numFmtId="0" fontId="31" fillId="17" borderId="62" xfId="0" applyFont="1" applyFill="1" applyBorder="1" applyProtection="1">
      <alignment vertical="center"/>
      <protection hidden="1"/>
    </xf>
    <xf numFmtId="0" fontId="12" fillId="11" borderId="69" xfId="0" applyFont="1" applyFill="1" applyBorder="1" applyAlignment="1" applyProtection="1">
      <alignment horizontal="center" vertical="center"/>
      <protection hidden="1"/>
    </xf>
    <xf numFmtId="0" fontId="12" fillId="11" borderId="40" xfId="0" applyFont="1" applyFill="1" applyBorder="1" applyAlignment="1" applyProtection="1">
      <alignment horizontal="center" vertical="center"/>
      <protection hidden="1"/>
    </xf>
    <xf numFmtId="0" fontId="12" fillId="11" borderId="41" xfId="0" applyFont="1" applyFill="1" applyBorder="1" applyAlignment="1" applyProtection="1">
      <alignment horizontal="center" vertical="center"/>
      <protection hidden="1"/>
    </xf>
    <xf numFmtId="0" fontId="32" fillId="15" borderId="65" xfId="0" applyFont="1" applyFill="1" applyBorder="1" applyAlignment="1" applyProtection="1">
      <alignment horizontal="center" vertical="center" shrinkToFit="1"/>
      <protection hidden="1"/>
    </xf>
    <xf numFmtId="0" fontId="9" fillId="0" borderId="25" xfId="0" applyFont="1" applyBorder="1" applyAlignment="1" applyProtection="1">
      <alignment horizontal="center" vertical="center" shrinkToFit="1"/>
      <protection hidden="1"/>
    </xf>
    <xf numFmtId="0" fontId="37" fillId="0" borderId="26" xfId="0" applyFont="1" applyFill="1" applyBorder="1" applyAlignment="1" applyProtection="1">
      <alignment horizontal="center" vertical="center" shrinkToFit="1"/>
      <protection hidden="1"/>
    </xf>
    <xf numFmtId="0" fontId="46" fillId="0" borderId="23" xfId="0" applyFont="1" applyFill="1" applyBorder="1" applyAlignment="1" applyProtection="1">
      <alignment horizontal="center" vertical="center" shrinkToFit="1"/>
      <protection hidden="1"/>
    </xf>
    <xf numFmtId="0" fontId="46" fillId="0" borderId="29" xfId="0" applyFont="1" applyFill="1" applyBorder="1" applyAlignment="1" applyProtection="1">
      <alignment horizontal="center" vertical="center" shrinkToFit="1"/>
      <protection hidden="1"/>
    </xf>
    <xf numFmtId="0" fontId="43" fillId="0" borderId="70" xfId="0" applyFont="1" applyBorder="1" applyAlignment="1" applyProtection="1">
      <alignment horizontal="center" vertical="center" shrinkToFit="1"/>
      <protection hidden="1"/>
    </xf>
    <xf numFmtId="0" fontId="10" fillId="0" borderId="63" xfId="0" applyFont="1" applyFill="1" applyBorder="1" applyAlignment="1" applyProtection="1">
      <alignment horizontal="center" vertical="center" shrinkToFit="1"/>
      <protection hidden="1"/>
    </xf>
    <xf numFmtId="0" fontId="11" fillId="12" borderId="25" xfId="0" applyFont="1" applyFill="1" applyBorder="1" applyAlignment="1" applyProtection="1">
      <alignment horizontal="center" vertical="center" shrinkToFit="1"/>
      <protection hidden="1"/>
    </xf>
    <xf numFmtId="0" fontId="38" fillId="12" borderId="26" xfId="0" applyFont="1" applyFill="1" applyBorder="1" applyAlignment="1" applyProtection="1">
      <alignment horizontal="center" vertical="center" shrinkToFit="1"/>
      <protection hidden="1"/>
    </xf>
    <xf numFmtId="0" fontId="46" fillId="12" borderId="23" xfId="0" applyFont="1" applyFill="1" applyBorder="1" applyAlignment="1" applyProtection="1">
      <alignment horizontal="center" vertical="center" shrinkToFit="1"/>
      <protection hidden="1"/>
    </xf>
    <xf numFmtId="0" fontId="46" fillId="12" borderId="29" xfId="0" applyFont="1" applyFill="1" applyBorder="1" applyAlignment="1" applyProtection="1">
      <alignment horizontal="center" vertical="center" shrinkToFit="1"/>
      <protection hidden="1"/>
    </xf>
    <xf numFmtId="0" fontId="44" fillId="12" borderId="70" xfId="0" applyFont="1" applyFill="1" applyBorder="1" applyAlignment="1" applyProtection="1">
      <alignment horizontal="center" vertical="center" shrinkToFit="1"/>
      <protection hidden="1"/>
    </xf>
    <xf numFmtId="0" fontId="10" fillId="3" borderId="63" xfId="0" applyFont="1" applyFill="1" applyBorder="1" applyAlignment="1" applyProtection="1">
      <alignment horizontal="center" vertical="center" shrinkToFit="1"/>
      <protection hidden="1"/>
    </xf>
    <xf numFmtId="0" fontId="11" fillId="0" borderId="25" xfId="0" applyFont="1" applyBorder="1" applyAlignment="1" applyProtection="1">
      <alignment horizontal="center" vertical="center" shrinkToFit="1"/>
      <protection hidden="1"/>
    </xf>
    <xf numFmtId="0" fontId="38" fillId="0" borderId="26" xfId="0" applyFont="1" applyFill="1" applyBorder="1" applyAlignment="1" applyProtection="1">
      <alignment horizontal="center" vertical="center" shrinkToFit="1"/>
      <protection hidden="1"/>
    </xf>
    <xf numFmtId="0" fontId="44" fillId="0" borderId="70" xfId="0" applyFont="1" applyBorder="1" applyAlignment="1" applyProtection="1">
      <alignment horizontal="center" vertical="center" shrinkToFit="1"/>
      <protection hidden="1"/>
    </xf>
    <xf numFmtId="0" fontId="13" fillId="0" borderId="25" xfId="0" applyFont="1" applyBorder="1" applyAlignment="1" applyProtection="1">
      <alignment horizontal="center" vertical="center" shrinkToFit="1"/>
      <protection hidden="1"/>
    </xf>
    <xf numFmtId="0" fontId="39" fillId="0" borderId="26" xfId="0" applyFont="1" applyFill="1" applyBorder="1" applyAlignment="1" applyProtection="1">
      <alignment horizontal="center" vertical="center" shrinkToFit="1"/>
      <protection hidden="1"/>
    </xf>
    <xf numFmtId="0" fontId="45" fillId="0" borderId="70" xfId="0" applyFont="1" applyBorder="1" applyAlignment="1" applyProtection="1">
      <alignment horizontal="center" vertical="center" shrinkToFit="1"/>
      <protection hidden="1"/>
    </xf>
    <xf numFmtId="0" fontId="11" fillId="0" borderId="27" xfId="0" applyFont="1" applyBorder="1" applyAlignment="1" applyProtection="1">
      <alignment horizontal="center" vertical="center" shrinkToFit="1"/>
      <protection hidden="1"/>
    </xf>
    <xf numFmtId="0" fontId="38" fillId="0" borderId="28" xfId="0" applyFont="1" applyFill="1" applyBorder="1" applyAlignment="1" applyProtection="1">
      <alignment horizontal="center" vertical="center" shrinkToFit="1"/>
      <protection hidden="1"/>
    </xf>
    <xf numFmtId="0" fontId="46" fillId="0" borderId="24" xfId="0" applyFont="1" applyFill="1" applyBorder="1" applyAlignment="1" applyProtection="1">
      <alignment horizontal="center" vertical="center" shrinkToFit="1"/>
      <protection hidden="1"/>
    </xf>
    <xf numFmtId="0" fontId="46" fillId="0" borderId="30" xfId="0" applyFont="1" applyFill="1" applyBorder="1" applyAlignment="1" applyProtection="1">
      <alignment horizontal="center" vertical="center" shrinkToFit="1"/>
      <protection hidden="1"/>
    </xf>
    <xf numFmtId="0" fontId="44" fillId="0" borderId="68" xfId="0" applyFont="1" applyBorder="1" applyAlignment="1" applyProtection="1">
      <alignment horizontal="center" vertical="center" shrinkToFit="1"/>
      <protection hidden="1"/>
    </xf>
    <xf numFmtId="0" fontId="10" fillId="0" borderId="64" xfId="0" applyFont="1" applyFill="1" applyBorder="1" applyAlignment="1" applyProtection="1">
      <alignment horizontal="center" vertical="center" shrinkToFit="1"/>
      <protection hidden="1"/>
    </xf>
    <xf numFmtId="0" fontId="22" fillId="0" borderId="20" xfId="0" applyFont="1" applyBorder="1" applyProtection="1">
      <alignment vertical="center"/>
      <protection hidden="1"/>
    </xf>
    <xf numFmtId="0" fontId="22" fillId="0" borderId="21" xfId="0" applyFont="1" applyBorder="1" applyProtection="1">
      <alignment vertical="center"/>
      <protection hidden="1"/>
    </xf>
    <xf numFmtId="0" fontId="20" fillId="6" borderId="57" xfId="0" applyFont="1" applyFill="1" applyBorder="1" applyAlignment="1" applyProtection="1">
      <alignment vertical="center"/>
      <protection hidden="1"/>
    </xf>
    <xf numFmtId="0" fontId="22" fillId="6" borderId="58" xfId="0" applyFont="1" applyFill="1" applyBorder="1" applyAlignment="1" applyProtection="1">
      <alignment vertical="center"/>
      <protection hidden="1"/>
    </xf>
    <xf numFmtId="0" fontId="22" fillId="6" borderId="58" xfId="0" applyFont="1" applyFill="1" applyBorder="1" applyProtection="1">
      <alignment vertical="center"/>
      <protection hidden="1"/>
    </xf>
    <xf numFmtId="0" fontId="22" fillId="6" borderId="59" xfId="0" applyFont="1" applyFill="1" applyBorder="1" applyProtection="1">
      <alignment vertical="center"/>
      <protection hidden="1"/>
    </xf>
    <xf numFmtId="0" fontId="22" fillId="8" borderId="52" xfId="0" applyFont="1" applyFill="1" applyBorder="1" applyProtection="1">
      <alignment vertical="center"/>
      <protection hidden="1"/>
    </xf>
    <xf numFmtId="0" fontId="14" fillId="8" borderId="0" xfId="0" applyFont="1" applyFill="1" applyBorder="1" applyAlignment="1" applyProtection="1">
      <alignment horizontal="right" vertical="center"/>
      <protection hidden="1"/>
    </xf>
    <xf numFmtId="0" fontId="22" fillId="8" borderId="0" xfId="0" applyFont="1" applyFill="1" applyBorder="1" applyProtection="1">
      <alignment vertical="center"/>
      <protection hidden="1"/>
    </xf>
    <xf numFmtId="0" fontId="22" fillId="8" borderId="53" xfId="0" applyFont="1" applyFill="1" applyBorder="1" applyProtection="1">
      <alignment vertical="center"/>
      <protection hidden="1"/>
    </xf>
    <xf numFmtId="0" fontId="14" fillId="8" borderId="0" xfId="0" applyFont="1" applyFill="1" applyBorder="1" applyProtection="1">
      <alignment vertical="center"/>
      <protection hidden="1"/>
    </xf>
    <xf numFmtId="0" fontId="15" fillId="8" borderId="0" xfId="0" applyFont="1" applyFill="1" applyBorder="1" applyAlignment="1" applyProtection="1">
      <alignment horizontal="right" vertical="center" shrinkToFit="1"/>
      <protection hidden="1"/>
    </xf>
    <xf numFmtId="0" fontId="16" fillId="8" borderId="0" xfId="0" applyFont="1" applyFill="1" applyBorder="1" applyAlignment="1" applyProtection="1">
      <alignment horizontal="left"/>
      <protection hidden="1"/>
    </xf>
    <xf numFmtId="0" fontId="19" fillId="8" borderId="0" xfId="0" applyFont="1" applyFill="1" applyBorder="1" applyProtection="1">
      <alignment vertical="center"/>
      <protection hidden="1"/>
    </xf>
    <xf numFmtId="0" fontId="12" fillId="8" borderId="53" xfId="0" applyFont="1" applyFill="1" applyBorder="1" applyAlignment="1" applyProtection="1">
      <alignment horizontal="left" vertical="center"/>
      <protection hidden="1"/>
    </xf>
    <xf numFmtId="0" fontId="22" fillId="8" borderId="0" xfId="0" applyFont="1" applyFill="1" applyBorder="1" applyAlignment="1" applyProtection="1">
      <alignment horizontal="right" vertical="center"/>
      <protection hidden="1"/>
    </xf>
    <xf numFmtId="0" fontId="33" fillId="8" borderId="0" xfId="0" applyFont="1" applyFill="1" applyBorder="1" applyAlignment="1" applyProtection="1">
      <alignment horizontal="right" vertical="center"/>
      <protection hidden="1"/>
    </xf>
    <xf numFmtId="0" fontId="22" fillId="8" borderId="54" xfId="0" applyFont="1" applyFill="1" applyBorder="1" applyProtection="1">
      <alignment vertical="center"/>
      <protection hidden="1"/>
    </xf>
    <xf numFmtId="0" fontId="22" fillId="8" borderId="55" xfId="0" applyFont="1" applyFill="1" applyBorder="1" applyProtection="1">
      <alignment vertical="center"/>
      <protection hidden="1"/>
    </xf>
    <xf numFmtId="0" fontId="22" fillId="8" borderId="56" xfId="0" applyFont="1" applyFill="1" applyBorder="1" applyProtection="1">
      <alignment vertical="center"/>
      <protection hidden="1"/>
    </xf>
    <xf numFmtId="0" fontId="22" fillId="0" borderId="22" xfId="0" applyFont="1" applyBorder="1" applyProtection="1">
      <alignment vertical="center"/>
      <protection hidden="1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2" fillId="0" borderId="0" xfId="0" quotePrefix="1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0" fontId="5" fillId="0" borderId="0" xfId="0" quotePrefix="1" applyFont="1" applyFill="1" applyBorder="1">
      <alignment vertical="center"/>
    </xf>
    <xf numFmtId="0" fontId="28" fillId="24" borderId="0" xfId="0" applyFont="1" applyFill="1">
      <alignment vertical="center"/>
    </xf>
    <xf numFmtId="0" fontId="47" fillId="24" borderId="0" xfId="0" applyFont="1" applyFill="1" applyBorder="1" applyAlignment="1">
      <alignment horizontal="center" vertical="center"/>
    </xf>
    <xf numFmtId="0" fontId="65" fillId="0" borderId="13" xfId="0" applyFont="1" applyFill="1" applyBorder="1" applyAlignment="1" applyProtection="1">
      <alignment horizontal="center" vertical="center"/>
      <protection hidden="1"/>
    </xf>
    <xf numFmtId="0" fontId="65" fillId="0" borderId="14" xfId="0" applyFont="1" applyFill="1" applyBorder="1" applyAlignment="1" applyProtection="1">
      <alignment horizontal="center" vertical="center"/>
      <protection hidden="1"/>
    </xf>
    <xf numFmtId="0" fontId="66" fillId="0" borderId="0" xfId="0" applyFont="1" applyBorder="1" applyAlignment="1" applyProtection="1">
      <alignment horizontal="center" vertical="center"/>
      <protection hidden="1"/>
    </xf>
    <xf numFmtId="0" fontId="66" fillId="9" borderId="31" xfId="0" applyFont="1" applyFill="1" applyBorder="1" applyAlignment="1" applyProtection="1">
      <alignment horizontal="center" vertical="center"/>
      <protection hidden="1"/>
    </xf>
    <xf numFmtId="0" fontId="66" fillId="9" borderId="32" xfId="0" applyFont="1" applyFill="1" applyBorder="1" applyAlignment="1" applyProtection="1">
      <alignment horizontal="center" vertical="center"/>
      <protection hidden="1"/>
    </xf>
    <xf numFmtId="0" fontId="66" fillId="13" borderId="32" xfId="0" applyFont="1" applyFill="1" applyBorder="1" applyAlignment="1" applyProtection="1">
      <alignment horizontal="center" vertical="center"/>
      <protection hidden="1"/>
    </xf>
    <xf numFmtId="0" fontId="66" fillId="9" borderId="34" xfId="0" applyFont="1" applyFill="1" applyBorder="1" applyAlignment="1" applyProtection="1">
      <alignment horizontal="center" vertical="center"/>
      <protection hidden="1"/>
    </xf>
    <xf numFmtId="0" fontId="66" fillId="9" borderId="35" xfId="0" applyFont="1" applyFill="1" applyBorder="1" applyAlignment="1" applyProtection="1">
      <alignment horizontal="center" vertical="center"/>
      <protection hidden="1"/>
    </xf>
    <xf numFmtId="0" fontId="66" fillId="13" borderId="35" xfId="0" applyFont="1" applyFill="1" applyBorder="1" applyAlignment="1" applyProtection="1">
      <alignment horizontal="center" vertical="center"/>
      <protection hidden="1"/>
    </xf>
    <xf numFmtId="0" fontId="66" fillId="9" borderId="37" xfId="0" applyFont="1" applyFill="1" applyBorder="1" applyAlignment="1" applyProtection="1">
      <alignment horizontal="center" vertical="center"/>
      <protection hidden="1"/>
    </xf>
    <xf numFmtId="0" fontId="66" fillId="9" borderId="38" xfId="0" applyFont="1" applyFill="1" applyBorder="1" applyAlignment="1" applyProtection="1">
      <alignment horizontal="center" vertical="center"/>
      <protection hidden="1"/>
    </xf>
    <xf numFmtId="0" fontId="66" fillId="13" borderId="38" xfId="0" applyFont="1" applyFill="1" applyBorder="1" applyAlignment="1" applyProtection="1">
      <alignment horizontal="center" vertical="center"/>
      <protection hidden="1"/>
    </xf>
    <xf numFmtId="0" fontId="67" fillId="12" borderId="25" xfId="0" applyFont="1" applyFill="1" applyBorder="1" applyAlignment="1" applyProtection="1">
      <alignment horizontal="center" vertical="center" shrinkToFit="1"/>
      <protection hidden="1"/>
    </xf>
    <xf numFmtId="0" fontId="68" fillId="12" borderId="26" xfId="0" applyFont="1" applyFill="1" applyBorder="1" applyAlignment="1" applyProtection="1">
      <alignment horizontal="center" vertical="center" shrinkToFit="1"/>
      <protection hidden="1"/>
    </xf>
    <xf numFmtId="0" fontId="69" fillId="12" borderId="70" xfId="0" applyFont="1" applyFill="1" applyBorder="1" applyAlignment="1" applyProtection="1">
      <alignment horizontal="center" vertical="center" shrinkToFit="1"/>
      <protection hidden="1"/>
    </xf>
    <xf numFmtId="0" fontId="24" fillId="16" borderId="6" xfId="0" applyFont="1" applyFill="1" applyBorder="1" applyAlignment="1" applyProtection="1">
      <alignment horizontal="center" vertical="center" shrinkToFit="1"/>
      <protection locked="0"/>
    </xf>
    <xf numFmtId="0" fontId="24" fillId="16" borderId="8" xfId="0" applyFont="1" applyFill="1" applyBorder="1" applyAlignment="1" applyProtection="1">
      <alignment horizontal="center" vertical="center" shrinkToFit="1"/>
      <protection locked="0"/>
    </xf>
    <xf numFmtId="0" fontId="34" fillId="7" borderId="50" xfId="0" applyFont="1" applyFill="1" applyBorder="1" applyAlignment="1" applyProtection="1">
      <alignment horizontal="center" vertical="center" shrinkToFit="1"/>
      <protection locked="0"/>
    </xf>
    <xf numFmtId="0" fontId="34" fillId="7" borderId="51" xfId="0" applyFont="1" applyFill="1" applyBorder="1" applyAlignment="1" applyProtection="1">
      <alignment horizontal="center" vertical="center" shrinkToFit="1"/>
      <protection locked="0"/>
    </xf>
    <xf numFmtId="0" fontId="18" fillId="16" borderId="4" xfId="0" applyFont="1" applyFill="1" applyBorder="1" applyAlignment="1" applyProtection="1">
      <alignment horizontal="center" vertical="center" shrinkToFit="1"/>
      <protection locked="0"/>
    </xf>
    <xf numFmtId="0" fontId="18" fillId="16" borderId="5" xfId="0" applyFont="1" applyFill="1" applyBorder="1" applyAlignment="1" applyProtection="1">
      <alignment horizontal="center" vertical="center" shrinkToFit="1"/>
      <protection locked="0"/>
    </xf>
    <xf numFmtId="0" fontId="17" fillId="11" borderId="26" xfId="0" applyFont="1" applyFill="1" applyBorder="1" applyAlignment="1" applyProtection="1">
      <alignment horizontal="center" vertical="center" wrapText="1"/>
      <protection hidden="1"/>
    </xf>
    <xf numFmtId="0" fontId="32" fillId="14" borderId="66" xfId="0" applyFont="1" applyFill="1" applyBorder="1" applyAlignment="1" applyProtection="1">
      <alignment horizontal="center" vertical="center" shrinkToFit="1"/>
      <protection hidden="1"/>
    </xf>
    <xf numFmtId="0" fontId="32" fillId="14" borderId="65" xfId="0" applyFont="1" applyFill="1" applyBorder="1" applyAlignment="1" applyProtection="1">
      <alignment horizontal="center" vertical="center" shrinkToFit="1"/>
      <protection hidden="1"/>
    </xf>
    <xf numFmtId="0" fontId="42" fillId="8" borderId="67" xfId="0" applyFont="1" applyFill="1" applyBorder="1" applyAlignment="1" applyProtection="1">
      <alignment horizontal="center" vertical="center"/>
      <protection hidden="1"/>
    </xf>
    <xf numFmtId="0" fontId="17" fillId="11" borderId="25" xfId="0" applyFont="1" applyFill="1" applyBorder="1" applyAlignment="1" applyProtection="1">
      <alignment horizontal="center" vertical="center" wrapText="1"/>
      <protection hidden="1"/>
    </xf>
    <xf numFmtId="0" fontId="18" fillId="16" borderId="60" xfId="0" applyFont="1" applyFill="1" applyBorder="1" applyAlignment="1" applyProtection="1">
      <alignment horizontal="center" vertical="center" shrinkToFit="1"/>
      <protection locked="0"/>
    </xf>
    <xf numFmtId="0" fontId="18" fillId="16" borderId="61" xfId="0" applyFont="1" applyFill="1" applyBorder="1" applyAlignment="1" applyProtection="1">
      <alignment horizontal="center" vertical="center" shrinkToFit="1"/>
      <protection locked="0"/>
    </xf>
    <xf numFmtId="0" fontId="33" fillId="8" borderId="0" xfId="0" applyFont="1" applyFill="1" applyBorder="1" applyAlignment="1" applyProtection="1">
      <alignment horizontal="center" vertical="center"/>
      <protection hidden="1"/>
    </xf>
    <xf numFmtId="0" fontId="49" fillId="19" borderId="0" xfId="0" applyFont="1" applyFill="1" applyBorder="1" applyAlignment="1" applyProtection="1">
      <alignment horizontal="center" vertical="center" shrinkToFit="1"/>
      <protection hidden="1"/>
    </xf>
    <xf numFmtId="0" fontId="49" fillId="5" borderId="0" xfId="0" applyFont="1" applyFill="1" applyBorder="1" applyAlignment="1" applyProtection="1">
      <alignment horizontal="center" vertical="center" shrinkToFit="1"/>
      <protection hidden="1"/>
    </xf>
    <xf numFmtId="0" fontId="61" fillId="0" borderId="0" xfId="0" applyFont="1" applyBorder="1" applyAlignment="1" applyProtection="1">
      <alignment horizontal="center" shrinkToFit="1"/>
      <protection hidden="1"/>
    </xf>
    <xf numFmtId="0" fontId="12" fillId="11" borderId="42" xfId="0" applyFont="1" applyFill="1" applyBorder="1" applyAlignment="1" applyProtection="1">
      <alignment horizontal="center" vertical="center"/>
      <protection hidden="1"/>
    </xf>
    <xf numFmtId="0" fontId="12" fillId="11" borderId="10" xfId="0" applyFont="1" applyFill="1" applyBorder="1" applyAlignment="1" applyProtection="1">
      <alignment horizontal="center" vertical="center"/>
      <protection hidden="1"/>
    </xf>
    <xf numFmtId="0" fontId="12" fillId="11" borderId="43" xfId="0" applyFont="1" applyFill="1" applyBorder="1" applyAlignment="1" applyProtection="1">
      <alignment horizontal="center" vertical="center"/>
      <protection hidden="1"/>
    </xf>
    <xf numFmtId="0" fontId="17" fillId="11" borderId="70" xfId="0" applyFont="1" applyFill="1" applyBorder="1" applyAlignment="1" applyProtection="1">
      <alignment horizontal="center" vertical="center" shrinkToFit="1"/>
      <protection hidden="1"/>
    </xf>
    <xf numFmtId="0" fontId="62" fillId="0" borderId="18" xfId="0" applyFont="1" applyBorder="1" applyAlignment="1" applyProtection="1">
      <alignment horizontal="right" vertical="center" shrinkToFit="1"/>
      <protection hidden="1"/>
    </xf>
    <xf numFmtId="0" fontId="62" fillId="0" borderId="0" xfId="0" applyFont="1" applyBorder="1" applyAlignment="1" applyProtection="1">
      <alignment horizontal="right" vertical="center" shrinkToFit="1"/>
      <protection hidden="1"/>
    </xf>
    <xf numFmtId="0" fontId="51" fillId="0" borderId="89" xfId="0" applyFont="1" applyBorder="1" applyAlignment="1" applyProtection="1">
      <alignment horizontal="center" vertical="center" shrinkToFit="1"/>
      <protection hidden="1"/>
    </xf>
    <xf numFmtId="0" fontId="51" fillId="0" borderId="79" xfId="0" applyFont="1" applyBorder="1" applyAlignment="1" applyProtection="1">
      <alignment horizontal="center" vertical="center" shrinkToFit="1"/>
      <protection hidden="1"/>
    </xf>
    <xf numFmtId="0" fontId="51" fillId="21" borderId="87" xfId="0" applyFont="1" applyFill="1" applyBorder="1" applyAlignment="1" applyProtection="1">
      <alignment horizontal="center" vertical="center" shrinkToFit="1"/>
      <protection hidden="1"/>
    </xf>
    <xf numFmtId="0" fontId="51" fillId="21" borderId="77" xfId="0" applyFont="1" applyFill="1" applyBorder="1" applyAlignment="1" applyProtection="1">
      <alignment horizontal="center" vertical="center" shrinkToFit="1"/>
      <protection hidden="1"/>
    </xf>
    <xf numFmtId="0" fontId="51" fillId="2" borderId="87" xfId="0" applyFont="1" applyFill="1" applyBorder="1" applyAlignment="1" applyProtection="1">
      <alignment horizontal="center" vertical="center" shrinkToFit="1"/>
      <protection hidden="1"/>
    </xf>
    <xf numFmtId="0" fontId="51" fillId="2" borderId="77" xfId="0" applyFont="1" applyFill="1" applyBorder="1" applyAlignment="1" applyProtection="1">
      <alignment horizontal="center" vertical="center" shrinkToFit="1"/>
      <protection hidden="1"/>
    </xf>
    <xf numFmtId="0" fontId="51" fillId="0" borderId="87" xfId="0" applyFont="1" applyBorder="1" applyAlignment="1" applyProtection="1">
      <alignment horizontal="center" vertical="center" shrinkToFit="1"/>
      <protection hidden="1"/>
    </xf>
    <xf numFmtId="0" fontId="51" fillId="0" borderId="77" xfId="0" applyFont="1" applyBorder="1" applyAlignment="1" applyProtection="1">
      <alignment horizontal="center" vertical="center" shrinkToFit="1"/>
      <protection hidden="1"/>
    </xf>
    <xf numFmtId="0" fontId="53" fillId="0" borderId="90" xfId="0" applyFont="1" applyBorder="1" applyAlignment="1" applyProtection="1">
      <alignment horizontal="center" vertical="center" shrinkToFit="1"/>
      <protection hidden="1"/>
    </xf>
    <xf numFmtId="0" fontId="53" fillId="0" borderId="80" xfId="0" applyFont="1" applyBorder="1" applyAlignment="1" applyProtection="1">
      <alignment horizontal="center" vertical="center" shrinkToFit="1"/>
      <protection hidden="1"/>
    </xf>
    <xf numFmtId="0" fontId="52" fillId="21" borderId="88" xfId="0" applyFont="1" applyFill="1" applyBorder="1" applyAlignment="1" applyProtection="1">
      <alignment horizontal="center" vertical="center" shrinkToFit="1"/>
      <protection hidden="1"/>
    </xf>
    <xf numFmtId="0" fontId="52" fillId="21" borderId="78" xfId="0" applyFont="1" applyFill="1" applyBorder="1" applyAlignment="1" applyProtection="1">
      <alignment horizontal="center" vertical="center" shrinkToFit="1"/>
      <protection hidden="1"/>
    </xf>
    <xf numFmtId="0" fontId="51" fillId="0" borderId="85" xfId="0" applyFont="1" applyBorder="1" applyAlignment="1" applyProtection="1">
      <alignment horizontal="left" vertical="center" shrinkToFit="1"/>
      <protection hidden="1"/>
    </xf>
    <xf numFmtId="0" fontId="51" fillId="0" borderId="75" xfId="0" applyFont="1" applyBorder="1" applyAlignment="1" applyProtection="1">
      <alignment horizontal="left" vertical="center" shrinkToFit="1"/>
      <protection hidden="1"/>
    </xf>
    <xf numFmtId="0" fontId="51" fillId="0" borderId="86" xfId="0" applyFont="1" applyFill="1" applyBorder="1" applyAlignment="1" applyProtection="1">
      <alignment horizontal="center" vertical="center" shrinkToFit="1"/>
      <protection hidden="1"/>
    </xf>
    <xf numFmtId="0" fontId="51" fillId="0" borderId="76" xfId="0" applyFont="1" applyFill="1" applyBorder="1" applyAlignment="1" applyProtection="1">
      <alignment horizontal="center" vertical="center" shrinkToFit="1"/>
      <protection hidden="1"/>
    </xf>
    <xf numFmtId="0" fontId="51" fillId="2" borderId="86" xfId="0" applyFont="1" applyFill="1" applyBorder="1" applyAlignment="1" applyProtection="1">
      <alignment horizontal="center" vertical="center" shrinkToFit="1"/>
      <protection hidden="1"/>
    </xf>
    <xf numFmtId="0" fontId="51" fillId="2" borderId="76" xfId="0" applyFont="1" applyFill="1" applyBorder="1" applyAlignment="1" applyProtection="1">
      <alignment horizontal="center" vertical="center" shrinkToFit="1"/>
      <protection hidden="1"/>
    </xf>
    <xf numFmtId="0" fontId="56" fillId="4" borderId="114" xfId="0" applyFont="1" applyFill="1" applyBorder="1" applyAlignment="1" applyProtection="1">
      <alignment horizontal="center" vertical="center"/>
      <protection hidden="1"/>
    </xf>
    <xf numFmtId="0" fontId="56" fillId="4" borderId="113" xfId="0" applyFont="1" applyFill="1" applyBorder="1" applyAlignment="1" applyProtection="1">
      <alignment horizontal="center" vertical="center"/>
      <protection hidden="1"/>
    </xf>
    <xf numFmtId="0" fontId="56" fillId="4" borderId="112" xfId="0" applyFont="1" applyFill="1" applyBorder="1" applyAlignment="1" applyProtection="1">
      <alignment horizontal="center" vertical="center"/>
      <protection hidden="1"/>
    </xf>
    <xf numFmtId="0" fontId="56" fillId="3" borderId="114" xfId="0" applyFont="1" applyFill="1" applyBorder="1" applyAlignment="1" applyProtection="1">
      <alignment horizontal="center" vertical="center"/>
      <protection hidden="1"/>
    </xf>
    <xf numFmtId="0" fontId="56" fillId="3" borderId="113" xfId="0" applyFont="1" applyFill="1" applyBorder="1" applyAlignment="1" applyProtection="1">
      <alignment horizontal="center" vertical="center"/>
      <protection hidden="1"/>
    </xf>
    <xf numFmtId="0" fontId="56" fillId="3" borderId="112" xfId="0" applyFont="1" applyFill="1" applyBorder="1" applyAlignment="1" applyProtection="1">
      <alignment horizontal="center" vertical="center"/>
      <protection hidden="1"/>
    </xf>
    <xf numFmtId="0" fontId="51" fillId="0" borderId="91" xfId="0" applyFont="1" applyBorder="1" applyAlignment="1" applyProtection="1">
      <alignment horizontal="center" vertical="center"/>
      <protection hidden="1"/>
    </xf>
    <xf numFmtId="0" fontId="51" fillId="0" borderId="81" xfId="0" applyFont="1" applyBorder="1" applyAlignment="1" applyProtection="1">
      <alignment horizontal="center" vertical="center"/>
      <protection hidden="1"/>
    </xf>
    <xf numFmtId="0" fontId="51" fillId="0" borderId="87" xfId="0" applyFont="1" applyFill="1" applyBorder="1" applyAlignment="1" applyProtection="1">
      <alignment horizontal="center" vertical="center" shrinkToFit="1"/>
      <protection hidden="1"/>
    </xf>
    <xf numFmtId="0" fontId="51" fillId="0" borderId="77" xfId="0" applyFont="1" applyFill="1" applyBorder="1" applyAlignment="1" applyProtection="1">
      <alignment horizontal="center" vertical="center" shrinkToFit="1"/>
      <protection hidden="1"/>
    </xf>
    <xf numFmtId="0" fontId="51" fillId="0" borderId="92" xfId="0" applyFont="1" applyBorder="1" applyAlignment="1" applyProtection="1">
      <alignment horizontal="left" vertical="center" shrinkToFit="1"/>
      <protection hidden="1"/>
    </xf>
    <xf numFmtId="0" fontId="51" fillId="0" borderId="82" xfId="0" applyFont="1" applyBorder="1" applyAlignment="1" applyProtection="1">
      <alignment horizontal="left" vertical="center" shrinkToFit="1"/>
      <protection hidden="1"/>
    </xf>
    <xf numFmtId="0" fontId="59" fillId="0" borderId="0" xfId="0" applyFont="1" applyAlignment="1" applyProtection="1">
      <alignment horizontal="left" vertical="center"/>
      <protection hidden="1"/>
    </xf>
    <xf numFmtId="0" fontId="53" fillId="0" borderId="93" xfId="0" applyFont="1" applyBorder="1" applyAlignment="1" applyProtection="1">
      <alignment horizontal="center" vertical="center" shrinkToFit="1"/>
      <protection hidden="1"/>
    </xf>
    <xf numFmtId="0" fontId="53" fillId="0" borderId="83" xfId="0" applyFont="1" applyBorder="1" applyAlignment="1" applyProtection="1">
      <alignment horizontal="center" vertical="center" shrinkToFit="1"/>
      <protection hidden="1"/>
    </xf>
  </cellXfs>
  <cellStyles count="1">
    <cellStyle name="標準" xfId="0" builtinId="0"/>
  </cellStyles>
  <dxfs count="32">
    <dxf>
      <font>
        <color theme="0" tint="-0.34998626667073579"/>
      </font>
    </dxf>
    <dxf>
      <font>
        <color rgb="FFC00000"/>
      </font>
      <fill>
        <patternFill>
          <bgColor rgb="FFFFCCCC"/>
        </patternFill>
      </fill>
    </dxf>
    <dxf>
      <font>
        <color theme="0" tint="-0.34998626667073579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theme="0" tint="-0.34998626667073579"/>
      </font>
    </dxf>
    <dxf>
      <font>
        <color theme="0" tint="-0.34998626667073579"/>
      </font>
      <fill>
        <patternFill>
          <bgColor theme="0" tint="-4.9989318521683403E-2"/>
        </patternFill>
      </fill>
    </dxf>
    <dxf>
      <font>
        <color theme="3" tint="-0.24994659260841701"/>
      </font>
    </dxf>
    <dxf>
      <font>
        <color rgb="FFC00000"/>
      </font>
      <fill>
        <patternFill>
          <bgColor rgb="FFFFCCCC"/>
        </patternFill>
      </fill>
    </dxf>
    <dxf>
      <font>
        <b/>
        <i val="0"/>
        <color rgb="FFC00000"/>
      </font>
      <fill>
        <patternFill>
          <bgColor rgb="FFFFCCCC"/>
        </patternFill>
      </fill>
    </dxf>
    <dxf>
      <font>
        <color theme="0" tint="-0.34998626667073579"/>
      </font>
      <fill>
        <patternFill>
          <bgColor theme="0" tint="-4.9989318521683403E-2"/>
        </patternFill>
      </fill>
    </dxf>
    <dxf>
      <font>
        <b/>
        <i val="0"/>
        <color rgb="FFC00000"/>
      </font>
      <fill>
        <patternFill>
          <bgColor rgb="FFFFCCCC"/>
        </patternFill>
      </fill>
    </dxf>
    <dxf>
      <font>
        <color theme="0" tint="-0.34998626667073579"/>
      </font>
      <fill>
        <patternFill>
          <bgColor theme="0" tint="-4.9989318521683403E-2"/>
        </patternFill>
      </fill>
    </dxf>
    <dxf>
      <fill>
        <patternFill>
          <bgColor rgb="FFFFE9E9"/>
        </patternFill>
      </fill>
    </dxf>
    <dxf>
      <fill>
        <patternFill>
          <bgColor rgb="FFFFCCCC"/>
        </patternFill>
      </fill>
    </dxf>
    <dxf>
      <font>
        <color rgb="FFD60093"/>
      </font>
    </dxf>
    <dxf>
      <font>
        <color rgb="FFD60093"/>
      </font>
    </dxf>
    <dxf>
      <fill>
        <gradientFill degree="90">
          <stop position="0">
            <color rgb="FFF5DAB5"/>
          </stop>
          <stop position="1">
            <color rgb="FFF3D2A7"/>
          </stop>
        </gradientFill>
      </fill>
    </dxf>
    <dxf>
      <font>
        <color rgb="FF008000"/>
      </font>
    </dxf>
    <dxf>
      <font>
        <color rgb="FF008000"/>
      </font>
    </dxf>
    <dxf>
      <font>
        <strike val="0"/>
        <color rgb="FF008000"/>
      </font>
    </dxf>
    <dxf>
      <font>
        <color rgb="FFE00000"/>
      </font>
    </dxf>
    <dxf>
      <font>
        <strike val="0"/>
        <color rgb="FFE00000"/>
      </font>
    </dxf>
    <dxf>
      <font>
        <strike val="0"/>
        <color rgb="FF0066CC"/>
      </font>
    </dxf>
  </dxfs>
  <tableStyles count="0" defaultTableStyle="TableStyleMedium2" defaultPivotStyle="PivotStyleLight16"/>
  <colors>
    <mruColors>
      <color rgb="FFC00000"/>
      <color rgb="FFFF0000"/>
      <color rgb="FFFFC000"/>
      <color rgb="FFFFFF00"/>
      <color rgb="FF92D050"/>
      <color rgb="FF00B050"/>
      <color rgb="FF00B0F0"/>
      <color rgb="FF0070C0"/>
      <color rgb="FF002060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528638</xdr:colOff>
      <xdr:row>10</xdr:row>
      <xdr:rowOff>133350</xdr:rowOff>
    </xdr:from>
    <xdr:to>
      <xdr:col>28</xdr:col>
      <xdr:colOff>0</xdr:colOff>
      <xdr:row>10</xdr:row>
      <xdr:rowOff>133350</xdr:rowOff>
    </xdr:to>
    <xdr:cxnSp macro="">
      <xdr:nvCxnSpPr>
        <xdr:cNvPr id="2" name="直線矢印コネクタ 1"/>
        <xdr:cNvCxnSpPr/>
      </xdr:nvCxnSpPr>
      <xdr:spPr>
        <a:xfrm>
          <a:off x="2976563" y="2390775"/>
          <a:ext cx="14158912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528638</xdr:colOff>
      <xdr:row>11</xdr:row>
      <xdr:rowOff>133350</xdr:rowOff>
    </xdr:from>
    <xdr:to>
      <xdr:col>28</xdr:col>
      <xdr:colOff>0</xdr:colOff>
      <xdr:row>11</xdr:row>
      <xdr:rowOff>133350</xdr:rowOff>
    </xdr:to>
    <xdr:cxnSp macro="">
      <xdr:nvCxnSpPr>
        <xdr:cNvPr id="4" name="直線矢印コネクタ 3"/>
        <xdr:cNvCxnSpPr/>
      </xdr:nvCxnSpPr>
      <xdr:spPr>
        <a:xfrm>
          <a:off x="2971520" y="2643468"/>
          <a:ext cx="14173480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528638</xdr:colOff>
      <xdr:row>12</xdr:row>
      <xdr:rowOff>133350</xdr:rowOff>
    </xdr:from>
    <xdr:to>
      <xdr:col>28</xdr:col>
      <xdr:colOff>0</xdr:colOff>
      <xdr:row>12</xdr:row>
      <xdr:rowOff>133350</xdr:rowOff>
    </xdr:to>
    <xdr:cxnSp macro="">
      <xdr:nvCxnSpPr>
        <xdr:cNvPr id="5" name="直線矢印コネクタ 4"/>
        <xdr:cNvCxnSpPr/>
      </xdr:nvCxnSpPr>
      <xdr:spPr>
        <a:xfrm>
          <a:off x="2976563" y="2924175"/>
          <a:ext cx="14158912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528638</xdr:colOff>
      <xdr:row>13</xdr:row>
      <xdr:rowOff>133350</xdr:rowOff>
    </xdr:from>
    <xdr:to>
      <xdr:col>28</xdr:col>
      <xdr:colOff>0</xdr:colOff>
      <xdr:row>13</xdr:row>
      <xdr:rowOff>133350</xdr:rowOff>
    </xdr:to>
    <xdr:cxnSp macro="">
      <xdr:nvCxnSpPr>
        <xdr:cNvPr id="6" name="直線矢印コネクタ 5"/>
        <xdr:cNvCxnSpPr/>
      </xdr:nvCxnSpPr>
      <xdr:spPr>
        <a:xfrm>
          <a:off x="2976563" y="3190875"/>
          <a:ext cx="14158912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528638</xdr:colOff>
      <xdr:row>14</xdr:row>
      <xdr:rowOff>133350</xdr:rowOff>
    </xdr:from>
    <xdr:to>
      <xdr:col>28</xdr:col>
      <xdr:colOff>0</xdr:colOff>
      <xdr:row>14</xdr:row>
      <xdr:rowOff>133350</xdr:rowOff>
    </xdr:to>
    <xdr:cxnSp macro="">
      <xdr:nvCxnSpPr>
        <xdr:cNvPr id="7" name="直線矢印コネクタ 6"/>
        <xdr:cNvCxnSpPr/>
      </xdr:nvCxnSpPr>
      <xdr:spPr>
        <a:xfrm>
          <a:off x="2976563" y="3457575"/>
          <a:ext cx="14158912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528638</xdr:colOff>
      <xdr:row>15</xdr:row>
      <xdr:rowOff>133350</xdr:rowOff>
    </xdr:from>
    <xdr:to>
      <xdr:col>28</xdr:col>
      <xdr:colOff>0</xdr:colOff>
      <xdr:row>15</xdr:row>
      <xdr:rowOff>133350</xdr:rowOff>
    </xdr:to>
    <xdr:cxnSp macro="">
      <xdr:nvCxnSpPr>
        <xdr:cNvPr id="8" name="直線矢印コネクタ 7"/>
        <xdr:cNvCxnSpPr/>
      </xdr:nvCxnSpPr>
      <xdr:spPr>
        <a:xfrm>
          <a:off x="2976563" y="3724275"/>
          <a:ext cx="14158912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514350</xdr:colOff>
      <xdr:row>20</xdr:row>
      <xdr:rowOff>133350</xdr:rowOff>
    </xdr:from>
    <xdr:to>
      <xdr:col>28</xdr:col>
      <xdr:colOff>0</xdr:colOff>
      <xdr:row>20</xdr:row>
      <xdr:rowOff>133350</xdr:rowOff>
    </xdr:to>
    <xdr:cxnSp macro="">
      <xdr:nvCxnSpPr>
        <xdr:cNvPr id="9" name="直線矢印コネクタ 8"/>
        <xdr:cNvCxnSpPr/>
      </xdr:nvCxnSpPr>
      <xdr:spPr>
        <a:xfrm>
          <a:off x="6819900" y="4838700"/>
          <a:ext cx="10315575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514350</xdr:colOff>
      <xdr:row>21</xdr:row>
      <xdr:rowOff>133350</xdr:rowOff>
    </xdr:from>
    <xdr:to>
      <xdr:col>28</xdr:col>
      <xdr:colOff>0</xdr:colOff>
      <xdr:row>21</xdr:row>
      <xdr:rowOff>133350</xdr:rowOff>
    </xdr:to>
    <xdr:cxnSp macro="">
      <xdr:nvCxnSpPr>
        <xdr:cNvPr id="10" name="直線矢印コネクタ 9"/>
        <xdr:cNvCxnSpPr/>
      </xdr:nvCxnSpPr>
      <xdr:spPr>
        <a:xfrm>
          <a:off x="6819900" y="5105400"/>
          <a:ext cx="10315575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514350</xdr:colOff>
      <xdr:row>22</xdr:row>
      <xdr:rowOff>133350</xdr:rowOff>
    </xdr:from>
    <xdr:to>
      <xdr:col>28</xdr:col>
      <xdr:colOff>0</xdr:colOff>
      <xdr:row>22</xdr:row>
      <xdr:rowOff>133350</xdr:rowOff>
    </xdr:to>
    <xdr:cxnSp macro="">
      <xdr:nvCxnSpPr>
        <xdr:cNvPr id="16" name="直線矢印コネクタ 15"/>
        <xdr:cNvCxnSpPr/>
      </xdr:nvCxnSpPr>
      <xdr:spPr>
        <a:xfrm>
          <a:off x="6819900" y="5372100"/>
          <a:ext cx="10315575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514350</xdr:colOff>
      <xdr:row>23</xdr:row>
      <xdr:rowOff>133350</xdr:rowOff>
    </xdr:from>
    <xdr:to>
      <xdr:col>28</xdr:col>
      <xdr:colOff>0</xdr:colOff>
      <xdr:row>23</xdr:row>
      <xdr:rowOff>133350</xdr:rowOff>
    </xdr:to>
    <xdr:cxnSp macro="">
      <xdr:nvCxnSpPr>
        <xdr:cNvPr id="17" name="直線矢印コネクタ 16"/>
        <xdr:cNvCxnSpPr/>
      </xdr:nvCxnSpPr>
      <xdr:spPr>
        <a:xfrm>
          <a:off x="6819900" y="5638800"/>
          <a:ext cx="10315575" cy="0"/>
        </a:xfrm>
        <a:prstGeom prst="straightConnector1">
          <a:avLst/>
        </a:prstGeom>
        <a:ln w="19050" cap="flat" cmpd="dbl" algn="ctr">
          <a:solidFill>
            <a:schemeClr val="tx1">
              <a:lumMod val="50000"/>
              <a:lumOff val="50000"/>
            </a:schemeClr>
          </a:solidFill>
          <a:prstDash val="sysDot"/>
          <a:miter lim="800000"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/>
      </a:spPr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100"/>
        </a:defPPr>
      </a:lstStyle>
      <a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D38"/>
  <sheetViews>
    <sheetView showGridLines="0" showRowColHeaders="0" tabSelected="1" zoomScale="90" zoomScaleNormal="90" workbookViewId="0">
      <selection activeCell="F3" sqref="F3:G3"/>
    </sheetView>
  </sheetViews>
  <sheetFormatPr defaultRowHeight="18.75"/>
  <cols>
    <col min="1" max="1" width="6.625" style="1" customWidth="1"/>
    <col min="2" max="2" width="5.75" style="1" customWidth="1"/>
    <col min="3" max="5" width="9.875" style="1" customWidth="1"/>
    <col min="6" max="6" width="10.625" style="1" customWidth="1"/>
    <col min="7" max="7" width="10.375" style="1" customWidth="1"/>
    <col min="8" max="8" width="10" style="1" customWidth="1"/>
    <col min="9" max="9" width="9.75" style="1" customWidth="1"/>
    <col min="10" max="10" width="9.5" style="1" customWidth="1"/>
    <col min="11" max="11" width="9.25" style="1" customWidth="1"/>
    <col min="12" max="12" width="9" style="1" customWidth="1"/>
    <col min="13" max="13" width="8.75" style="1" customWidth="1"/>
    <col min="14" max="14" width="8.5" style="1" customWidth="1"/>
    <col min="15" max="15" width="8.25" style="1" customWidth="1"/>
    <col min="16" max="16" width="8.125" style="1" customWidth="1"/>
    <col min="17" max="17" width="7.875" style="1" customWidth="1"/>
    <col min="18" max="18" width="7.625" style="1" customWidth="1"/>
    <col min="19" max="19" width="7.375" style="1" customWidth="1"/>
    <col min="20" max="20" width="7.25" style="1" customWidth="1"/>
    <col min="21" max="21" width="7" style="1" customWidth="1"/>
    <col min="22" max="22" width="6.875" style="1" customWidth="1"/>
    <col min="23" max="23" width="6.625" style="1" customWidth="1"/>
    <col min="24" max="24" width="6.5" style="1" customWidth="1"/>
    <col min="25" max="25" width="6.375" style="1" customWidth="1"/>
    <col min="26" max="26" width="6.125" style="1" customWidth="1"/>
    <col min="27" max="27" width="6" style="1" customWidth="1"/>
    <col min="28" max="29" width="5.125" style="1" customWidth="1"/>
    <col min="30" max="30" width="6.625" style="1" customWidth="1"/>
    <col min="31" max="16384" width="9" style="1"/>
  </cols>
  <sheetData>
    <row r="1" spans="1:30" ht="15" customHeight="1" thickBot="1">
      <c r="A1" s="209"/>
      <c r="B1" s="209"/>
      <c r="C1" s="210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</row>
    <row r="2" spans="1:30" ht="18.75" customHeight="1" thickTop="1" thickBot="1">
      <c r="A2" s="209"/>
      <c r="B2" s="95"/>
      <c r="C2" s="96"/>
      <c r="D2" s="97"/>
      <c r="E2" s="97"/>
      <c r="F2" s="98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9" t="s">
        <v>402</v>
      </c>
      <c r="AD2" s="209"/>
    </row>
    <row r="3" spans="1:30" ht="19.5" customHeight="1" thickBot="1">
      <c r="A3" s="209"/>
      <c r="B3" s="100"/>
      <c r="C3" s="101"/>
      <c r="D3" s="102"/>
      <c r="E3" s="103" t="str">
        <f>CalculationSheet!CS4</f>
        <v>Key :</v>
      </c>
      <c r="F3" s="226" t="s">
        <v>12</v>
      </c>
      <c r="G3" s="227"/>
      <c r="H3" s="104"/>
      <c r="I3" s="105"/>
      <c r="J3" s="103" t="str">
        <f>CalculationSheet!CS6</f>
        <v>Type of minor Scales :</v>
      </c>
      <c r="K3" s="104"/>
      <c r="L3" s="106" t="str">
        <f>CalculationSheet!CS7</f>
        <v>Display only Pentatonic Scale</v>
      </c>
      <c r="M3" s="102"/>
      <c r="N3" s="102"/>
      <c r="O3" s="104"/>
      <c r="P3" s="104"/>
      <c r="Q3" s="102"/>
      <c r="R3" s="107" t="str">
        <f>CalculationSheet!CS9</f>
        <v>( Relative Key :</v>
      </c>
      <c r="S3" s="108" t="str">
        <f>CalculationSheet!P22</f>
        <v>A minor )</v>
      </c>
      <c r="T3" s="104"/>
      <c r="U3" s="109"/>
      <c r="V3" s="109"/>
      <c r="W3" s="110"/>
      <c r="X3" s="102"/>
      <c r="Y3" s="102"/>
      <c r="Z3" s="102"/>
      <c r="AA3" s="102"/>
      <c r="AB3" s="102"/>
      <c r="AC3" s="111"/>
      <c r="AD3" s="209"/>
    </row>
    <row r="4" spans="1:30" ht="19.5" customHeight="1" thickBot="1">
      <c r="A4" s="209"/>
      <c r="B4" s="100"/>
      <c r="C4" s="112"/>
      <c r="D4" s="102"/>
      <c r="E4" s="103" t="str">
        <f>CalculationSheet!CS5</f>
        <v>Major/minor :</v>
      </c>
      <c r="F4" s="237" t="s">
        <v>403</v>
      </c>
      <c r="G4" s="238"/>
      <c r="H4" s="104"/>
      <c r="I4" s="230" t="s">
        <v>414</v>
      </c>
      <c r="J4" s="231"/>
      <c r="K4" s="104"/>
      <c r="L4" s="14" t="s">
        <v>286</v>
      </c>
      <c r="M4" s="113"/>
      <c r="N4" s="102"/>
      <c r="O4" s="104"/>
      <c r="P4" s="104"/>
      <c r="Q4" s="102"/>
      <c r="R4" s="104"/>
      <c r="S4" s="104"/>
      <c r="T4" s="102"/>
      <c r="U4" s="102"/>
      <c r="V4" s="102"/>
      <c r="W4" s="102"/>
      <c r="X4" s="102"/>
      <c r="Y4" s="102"/>
      <c r="Z4" s="102"/>
      <c r="AA4" s="102"/>
      <c r="AB4" s="102"/>
      <c r="AC4" s="111"/>
      <c r="AD4" s="209"/>
    </row>
    <row r="5" spans="1:30" ht="12.95" customHeight="1" thickBot="1">
      <c r="A5" s="209"/>
      <c r="B5" s="100"/>
      <c r="C5" s="114"/>
      <c r="D5" s="102"/>
      <c r="E5" s="102"/>
      <c r="F5" s="115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11"/>
      <c r="AD5" s="209"/>
    </row>
    <row r="6" spans="1:30" ht="19.5" customHeight="1">
      <c r="A6" s="209"/>
      <c r="B6" s="100"/>
      <c r="C6" s="114"/>
      <c r="D6" s="102"/>
      <c r="E6" s="102"/>
      <c r="F6" s="116" t="str">
        <f>CalculationSheet!D119</f>
        <v xml:space="preserve"> C Major Diatonic Scale</v>
      </c>
      <c r="G6" s="117"/>
      <c r="H6" s="117"/>
      <c r="I6" s="117"/>
      <c r="J6" s="117"/>
      <c r="K6" s="117"/>
      <c r="L6" s="118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11"/>
      <c r="AD6" s="209"/>
    </row>
    <row r="7" spans="1:30" ht="19.5" customHeight="1">
      <c r="A7" s="209"/>
      <c r="B7" s="100"/>
      <c r="C7" s="114"/>
      <c r="D7" s="102"/>
      <c r="E7" s="102"/>
      <c r="F7" s="119" t="str">
        <f>CalculationSheet!D54</f>
        <v>I</v>
      </c>
      <c r="G7" s="120" t="str">
        <f>CalculationSheet!E54</f>
        <v>II</v>
      </c>
      <c r="H7" s="120" t="str">
        <f>CalculationSheet!F54</f>
        <v>III</v>
      </c>
      <c r="I7" s="120" t="str">
        <f>CalculationSheet!G54</f>
        <v>IV</v>
      </c>
      <c r="J7" s="120" t="str">
        <f>CalculationSheet!H54</f>
        <v>V</v>
      </c>
      <c r="K7" s="120" t="str">
        <f>CalculationSheet!I54</f>
        <v>VI</v>
      </c>
      <c r="L7" s="121" t="str">
        <f>CalculationSheet!J54</f>
        <v>VII</v>
      </c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11"/>
      <c r="AD7" s="209"/>
    </row>
    <row r="8" spans="1:30" ht="19.5" customHeight="1" thickBot="1">
      <c r="A8" s="209"/>
      <c r="B8" s="100"/>
      <c r="C8" s="102"/>
      <c r="D8" s="102"/>
      <c r="E8" s="102"/>
      <c r="F8" s="122" t="str">
        <f>CalculationSheet!D55</f>
        <v>C</v>
      </c>
      <c r="G8" s="211" t="str">
        <f>CalculationSheet!E55</f>
        <v>D</v>
      </c>
      <c r="H8" s="211" t="str">
        <f>CalculationSheet!F55</f>
        <v>E</v>
      </c>
      <c r="I8" s="211" t="str">
        <f>CalculationSheet!G55</f>
        <v>F</v>
      </c>
      <c r="J8" s="211" t="str">
        <f>CalculationSheet!H55</f>
        <v>G</v>
      </c>
      <c r="K8" s="211" t="str">
        <f>CalculationSheet!I55</f>
        <v>A</v>
      </c>
      <c r="L8" s="212" t="str">
        <f>CalculationSheet!J55</f>
        <v>B</v>
      </c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11"/>
      <c r="AD8" s="209"/>
    </row>
    <row r="9" spans="1:30" ht="12.95" customHeight="1">
      <c r="A9" s="209"/>
      <c r="B9" s="100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11"/>
      <c r="AD9" s="209"/>
    </row>
    <row r="10" spans="1:30" ht="21" customHeight="1" thickBot="1">
      <c r="A10" s="209"/>
      <c r="B10" s="100"/>
      <c r="C10" s="102"/>
      <c r="D10" s="102"/>
      <c r="E10" s="123"/>
      <c r="F10" s="124">
        <v>1</v>
      </c>
      <c r="G10" s="124">
        <v>2</v>
      </c>
      <c r="H10" s="125">
        <v>3</v>
      </c>
      <c r="I10" s="124">
        <v>4</v>
      </c>
      <c r="J10" s="125">
        <v>5</v>
      </c>
      <c r="K10" s="124">
        <v>6</v>
      </c>
      <c r="L10" s="125">
        <v>7</v>
      </c>
      <c r="M10" s="124">
        <v>8</v>
      </c>
      <c r="N10" s="125">
        <v>9</v>
      </c>
      <c r="O10" s="124">
        <v>10</v>
      </c>
      <c r="P10" s="124">
        <v>11</v>
      </c>
      <c r="Q10" s="126">
        <v>12</v>
      </c>
      <c r="R10" s="124">
        <v>13</v>
      </c>
      <c r="S10" s="124">
        <v>14</v>
      </c>
      <c r="T10" s="125">
        <v>15</v>
      </c>
      <c r="U10" s="124">
        <v>16</v>
      </c>
      <c r="V10" s="125">
        <v>17</v>
      </c>
      <c r="W10" s="124">
        <v>18</v>
      </c>
      <c r="X10" s="125">
        <v>19</v>
      </c>
      <c r="Y10" s="124">
        <v>20</v>
      </c>
      <c r="Z10" s="125">
        <v>21</v>
      </c>
      <c r="AA10" s="124">
        <v>22</v>
      </c>
      <c r="AB10" s="102"/>
      <c r="AC10" s="111"/>
      <c r="AD10" s="209"/>
    </row>
    <row r="11" spans="1:30" ht="21.6" customHeight="1">
      <c r="A11" s="209"/>
      <c r="B11" s="100"/>
      <c r="C11" s="240" t="s">
        <v>284</v>
      </c>
      <c r="D11" s="240"/>
      <c r="E11" s="213" t="str">
        <f>IF(CalculationSheet!BR14=1,CalculationSheet!BR7,"")</f>
        <v>E</v>
      </c>
      <c r="F11" s="214" t="str">
        <f>IF(CalculationSheet!BS14=1,CalculationSheet!BS7,"")</f>
        <v>F</v>
      </c>
      <c r="G11" s="215" t="str">
        <f>IF(CalculationSheet!BT14=1,CalculationSheet!BT7,"")</f>
        <v/>
      </c>
      <c r="H11" s="216" t="str">
        <f>IF(CalculationSheet!BU14=1,CalculationSheet!BU7,"")</f>
        <v>G</v>
      </c>
      <c r="I11" s="215" t="str">
        <f>IF(CalculationSheet!BV14=1,CalculationSheet!BV7,"")</f>
        <v/>
      </c>
      <c r="J11" s="216" t="str">
        <f>IF(CalculationSheet!BW14=1,CalculationSheet!BW7,"")</f>
        <v>A</v>
      </c>
      <c r="K11" s="215" t="str">
        <f>IF(CalculationSheet!BX14=1,CalculationSheet!BX7,"")</f>
        <v/>
      </c>
      <c r="L11" s="216" t="str">
        <f>IF(CalculationSheet!BY14=1,CalculationSheet!BY7,"")</f>
        <v>B</v>
      </c>
      <c r="M11" s="215" t="str">
        <f>IF(CalculationSheet!BZ14=1,CalculationSheet!BZ7,"")</f>
        <v>C</v>
      </c>
      <c r="N11" s="216" t="str">
        <f>IF(CalculationSheet!CA14=1,CalculationSheet!CA7,"")</f>
        <v/>
      </c>
      <c r="O11" s="215" t="str">
        <f>IF(CalculationSheet!CB14=1,CalculationSheet!CB7,"")</f>
        <v>D</v>
      </c>
      <c r="P11" s="215" t="str">
        <f>IF(CalculationSheet!CC14=1,CalculationSheet!CC7,"")</f>
        <v/>
      </c>
      <c r="Q11" s="216" t="str">
        <f>IF(CalculationSheet!CD14=1,CalculationSheet!CD7,"")</f>
        <v>E</v>
      </c>
      <c r="R11" s="215" t="str">
        <f>IF(CalculationSheet!CE14=1,CalculationSheet!CE7,"")</f>
        <v>F</v>
      </c>
      <c r="S11" s="215" t="str">
        <f>IF(CalculationSheet!CF14=1,CalculationSheet!CF7,"")</f>
        <v/>
      </c>
      <c r="T11" s="216" t="str">
        <f>IF(CalculationSheet!CG14=1,CalculationSheet!CG7,"")</f>
        <v>G</v>
      </c>
      <c r="U11" s="215" t="str">
        <f>IF(CalculationSheet!CH14=1,CalculationSheet!CH7,"")</f>
        <v/>
      </c>
      <c r="V11" s="216" t="str">
        <f>IF(CalculationSheet!CI14=1,CalculationSheet!CI7,"")</f>
        <v>A</v>
      </c>
      <c r="W11" s="215" t="str">
        <f>IF(CalculationSheet!CJ14=1,CalculationSheet!CJ7,"")</f>
        <v/>
      </c>
      <c r="X11" s="216" t="str">
        <f>IF(CalculationSheet!CK14=1,CalculationSheet!CK7,"")</f>
        <v>B</v>
      </c>
      <c r="Y11" s="215" t="str">
        <f>IF(CalculationSheet!CL14=1,CalculationSheet!CL7,"")</f>
        <v>C</v>
      </c>
      <c r="Z11" s="216" t="str">
        <f>IF(CalculationSheet!CM14=1,CalculationSheet!CM7,"")</f>
        <v/>
      </c>
      <c r="AA11" s="215" t="str">
        <f>IF(CalculationSheet!CN14=1,CalculationSheet!CN7,"")</f>
        <v>D</v>
      </c>
      <c r="AB11" s="127"/>
      <c r="AC11" s="111"/>
      <c r="AD11" s="209"/>
    </row>
    <row r="12" spans="1:30" ht="21.6" customHeight="1">
      <c r="A12" s="209"/>
      <c r="B12" s="128"/>
      <c r="C12" s="242" t="str">
        <f>CalculationSheet!E90</f>
        <v/>
      </c>
      <c r="D12" s="242"/>
      <c r="E12" s="213" t="str">
        <f>IF(CalculationSheet!BR15=1,CalculationSheet!BR8,"")</f>
        <v>B</v>
      </c>
      <c r="F12" s="217" t="str">
        <f>IF(CalculationSheet!BS15=1,CalculationSheet!BS8,"")</f>
        <v>C</v>
      </c>
      <c r="G12" s="218" t="str">
        <f>IF(CalculationSheet!BT15=1,CalculationSheet!BT8,"")</f>
        <v/>
      </c>
      <c r="H12" s="219" t="str">
        <f>IF(CalculationSheet!BU15=1,CalculationSheet!BU8,"")</f>
        <v>D</v>
      </c>
      <c r="I12" s="218" t="str">
        <f>IF(CalculationSheet!BV15=1,CalculationSheet!BV8,"")</f>
        <v/>
      </c>
      <c r="J12" s="219" t="str">
        <f>IF(CalculationSheet!BW15=1,CalculationSheet!BW8,"")</f>
        <v>E</v>
      </c>
      <c r="K12" s="218" t="str">
        <f>IF(CalculationSheet!BX15=1,CalculationSheet!BX8,"")</f>
        <v>F</v>
      </c>
      <c r="L12" s="219" t="str">
        <f>IF(CalculationSheet!BY15=1,CalculationSheet!BY8,"")</f>
        <v/>
      </c>
      <c r="M12" s="218" t="str">
        <f>IF(CalculationSheet!BZ15=1,CalculationSheet!BZ8,"")</f>
        <v>G</v>
      </c>
      <c r="N12" s="219" t="str">
        <f>IF(CalculationSheet!CA15=1,CalculationSheet!CA8,"")</f>
        <v/>
      </c>
      <c r="O12" s="218" t="str">
        <f>IF(CalculationSheet!CB15=1,CalculationSheet!CB8,"")</f>
        <v>A</v>
      </c>
      <c r="P12" s="218" t="str">
        <f>IF(CalculationSheet!CC15=1,CalculationSheet!CC8,"")</f>
        <v/>
      </c>
      <c r="Q12" s="219" t="str">
        <f>IF(CalculationSheet!CD15=1,CalculationSheet!CD8,"")</f>
        <v>B</v>
      </c>
      <c r="R12" s="218" t="str">
        <f>IF(CalculationSheet!CE15=1,CalculationSheet!CE8,"")</f>
        <v>C</v>
      </c>
      <c r="S12" s="218" t="str">
        <f>IF(CalculationSheet!CF15=1,CalculationSheet!CF8,"")</f>
        <v/>
      </c>
      <c r="T12" s="219" t="str">
        <f>IF(CalculationSheet!CG15=1,CalculationSheet!CG8,"")</f>
        <v>D</v>
      </c>
      <c r="U12" s="218" t="str">
        <f>IF(CalculationSheet!CH15=1,CalculationSheet!CH8,"")</f>
        <v/>
      </c>
      <c r="V12" s="219" t="str">
        <f>IF(CalculationSheet!CI15=1,CalculationSheet!CI8,"")</f>
        <v>E</v>
      </c>
      <c r="W12" s="218" t="str">
        <f>IF(CalculationSheet!CJ15=1,CalculationSheet!CJ8,"")</f>
        <v>F</v>
      </c>
      <c r="X12" s="219" t="str">
        <f>IF(CalculationSheet!CK15=1,CalculationSheet!CK8,"")</f>
        <v/>
      </c>
      <c r="Y12" s="218" t="str">
        <f>IF(CalculationSheet!CL15=1,CalculationSheet!CL8,"")</f>
        <v>G</v>
      </c>
      <c r="Z12" s="219" t="str">
        <f>IF(CalculationSheet!CM15=1,CalculationSheet!CM8,"")</f>
        <v/>
      </c>
      <c r="AA12" s="218" t="str">
        <f>IF(CalculationSheet!CN15=1,CalculationSheet!CN8,"")</f>
        <v>A</v>
      </c>
      <c r="AB12" s="129"/>
      <c r="AC12" s="111"/>
      <c r="AD12" s="209"/>
    </row>
    <row r="13" spans="1:30" ht="21.6" customHeight="1">
      <c r="A13" s="209"/>
      <c r="B13" s="128"/>
      <c r="C13" s="242"/>
      <c r="D13" s="242"/>
      <c r="E13" s="213" t="str">
        <f>IF(CalculationSheet!BR16=1,CalculationSheet!BR9,"")</f>
        <v>G</v>
      </c>
      <c r="F13" s="217" t="str">
        <f>IF(CalculationSheet!BS16=1,CalculationSheet!BS9,"")</f>
        <v/>
      </c>
      <c r="G13" s="218" t="str">
        <f>IF(CalculationSheet!BT16=1,CalculationSheet!BT9,"")</f>
        <v>A</v>
      </c>
      <c r="H13" s="219" t="str">
        <f>IF(CalculationSheet!BU16=1,CalculationSheet!BU9,"")</f>
        <v/>
      </c>
      <c r="I13" s="218" t="str">
        <f>IF(CalculationSheet!BV16=1,CalculationSheet!BV9,"")</f>
        <v>B</v>
      </c>
      <c r="J13" s="219" t="str">
        <f>IF(CalculationSheet!BW16=1,CalculationSheet!BW9,"")</f>
        <v>C</v>
      </c>
      <c r="K13" s="218" t="str">
        <f>IF(CalculationSheet!BX16=1,CalculationSheet!BX9,"")</f>
        <v/>
      </c>
      <c r="L13" s="219" t="str">
        <f>IF(CalculationSheet!BY16=1,CalculationSheet!BY9,"")</f>
        <v>D</v>
      </c>
      <c r="M13" s="218" t="str">
        <f>IF(CalculationSheet!BZ16=1,CalculationSheet!BZ9,"")</f>
        <v/>
      </c>
      <c r="N13" s="219" t="str">
        <f>IF(CalculationSheet!CA16=1,CalculationSheet!CA9,"")</f>
        <v>E</v>
      </c>
      <c r="O13" s="218" t="str">
        <f>IF(CalculationSheet!CB16=1,CalculationSheet!CB9,"")</f>
        <v>F</v>
      </c>
      <c r="P13" s="218" t="str">
        <f>IF(CalculationSheet!CC16=1,CalculationSheet!CC9,"")</f>
        <v/>
      </c>
      <c r="Q13" s="219" t="str">
        <f>IF(CalculationSheet!CD16=1,CalculationSheet!CD9,"")</f>
        <v>G</v>
      </c>
      <c r="R13" s="218" t="str">
        <f>IF(CalculationSheet!CE16=1,CalculationSheet!CE9,"")</f>
        <v/>
      </c>
      <c r="S13" s="218" t="str">
        <f>IF(CalculationSheet!CF16=1,CalculationSheet!CF9,"")</f>
        <v>A</v>
      </c>
      <c r="T13" s="219" t="str">
        <f>IF(CalculationSheet!CG16=1,CalculationSheet!CG9,"")</f>
        <v/>
      </c>
      <c r="U13" s="218" t="str">
        <f>IF(CalculationSheet!CH16=1,CalculationSheet!CH9,"")</f>
        <v>B</v>
      </c>
      <c r="V13" s="219" t="str">
        <f>IF(CalculationSheet!CI16=1,CalculationSheet!CI9,"")</f>
        <v>C</v>
      </c>
      <c r="W13" s="218" t="str">
        <f>IF(CalculationSheet!CJ16=1,CalculationSheet!CJ9,"")</f>
        <v/>
      </c>
      <c r="X13" s="219" t="str">
        <f>IF(CalculationSheet!CK16=1,CalculationSheet!CK9,"")</f>
        <v>D</v>
      </c>
      <c r="Y13" s="218" t="str">
        <f>IF(CalculationSheet!CL16=1,CalculationSheet!CL9,"")</f>
        <v/>
      </c>
      <c r="Z13" s="219" t="str">
        <f>IF(CalculationSheet!CM16=1,CalculationSheet!CM9,"")</f>
        <v>E</v>
      </c>
      <c r="AA13" s="218" t="str">
        <f>IF(CalculationSheet!CN16=1,CalculationSheet!CN9,"")</f>
        <v>F</v>
      </c>
      <c r="AB13" s="129"/>
      <c r="AC13" s="111"/>
      <c r="AD13" s="209"/>
    </row>
    <row r="14" spans="1:30" ht="21.6" customHeight="1">
      <c r="A14" s="209"/>
      <c r="B14" s="247" t="str">
        <f>CalculationSheet!F90</f>
        <v/>
      </c>
      <c r="C14" s="248"/>
      <c r="D14" s="248"/>
      <c r="E14" s="213" t="str">
        <f>IF(CalculationSheet!BR17=1,CalculationSheet!BR10,"")</f>
        <v>D</v>
      </c>
      <c r="F14" s="217" t="str">
        <f>IF(CalculationSheet!BS17=1,CalculationSheet!BS10,"")</f>
        <v/>
      </c>
      <c r="G14" s="218" t="str">
        <f>IF(CalculationSheet!BT17=1,CalculationSheet!BT10,"")</f>
        <v>E</v>
      </c>
      <c r="H14" s="219" t="str">
        <f>IF(CalculationSheet!BU17=1,CalculationSheet!BU10,"")</f>
        <v>F</v>
      </c>
      <c r="I14" s="218" t="str">
        <f>IF(CalculationSheet!BV17=1,CalculationSheet!BV10,"")</f>
        <v/>
      </c>
      <c r="J14" s="219" t="str">
        <f>IF(CalculationSheet!BW17=1,CalculationSheet!BW10,"")</f>
        <v>G</v>
      </c>
      <c r="K14" s="218" t="str">
        <f>IF(CalculationSheet!BX17=1,CalculationSheet!BX10,"")</f>
        <v/>
      </c>
      <c r="L14" s="219" t="str">
        <f>IF(CalculationSheet!BY17=1,CalculationSheet!BY10,"")</f>
        <v>A</v>
      </c>
      <c r="M14" s="218" t="str">
        <f>IF(CalculationSheet!BZ17=1,CalculationSheet!BZ10,"")</f>
        <v/>
      </c>
      <c r="N14" s="219" t="str">
        <f>IF(CalculationSheet!CA17=1,CalculationSheet!CA10,"")</f>
        <v>B</v>
      </c>
      <c r="O14" s="218" t="str">
        <f>IF(CalculationSheet!CB17=1,CalculationSheet!CB10,"")</f>
        <v>C</v>
      </c>
      <c r="P14" s="218" t="str">
        <f>IF(CalculationSheet!CC17=1,CalculationSheet!CC10,"")</f>
        <v/>
      </c>
      <c r="Q14" s="219" t="str">
        <f>IF(CalculationSheet!CD17=1,CalculationSheet!CD10,"")</f>
        <v>D</v>
      </c>
      <c r="R14" s="218" t="str">
        <f>IF(CalculationSheet!CE17=1,CalculationSheet!CE10,"")</f>
        <v/>
      </c>
      <c r="S14" s="218" t="str">
        <f>IF(CalculationSheet!CF17=1,CalculationSheet!CF10,"")</f>
        <v>E</v>
      </c>
      <c r="T14" s="219" t="str">
        <f>IF(CalculationSheet!CG17=1,CalculationSheet!CG10,"")</f>
        <v>F</v>
      </c>
      <c r="U14" s="218" t="str">
        <f>IF(CalculationSheet!CH17=1,CalculationSheet!CH10,"")</f>
        <v/>
      </c>
      <c r="V14" s="219" t="str">
        <f>IF(CalculationSheet!CI17=1,CalculationSheet!CI10,"")</f>
        <v>G</v>
      </c>
      <c r="W14" s="218" t="str">
        <f>IF(CalculationSheet!CJ17=1,CalculationSheet!CJ10,"")</f>
        <v/>
      </c>
      <c r="X14" s="219" t="str">
        <f>IF(CalculationSheet!CK17=1,CalculationSheet!CK10,"")</f>
        <v>A</v>
      </c>
      <c r="Y14" s="218" t="str">
        <f>IF(CalculationSheet!CL17=1,CalculationSheet!CL10,"")</f>
        <v/>
      </c>
      <c r="Z14" s="219" t="str">
        <f>IF(CalculationSheet!CM17=1,CalculationSheet!CM10,"")</f>
        <v>B</v>
      </c>
      <c r="AA14" s="218" t="str">
        <f>IF(CalculationSheet!CN17=1,CalculationSheet!CN10,"")</f>
        <v>C</v>
      </c>
      <c r="AB14" s="129"/>
      <c r="AC14" s="111"/>
      <c r="AD14" s="209"/>
    </row>
    <row r="15" spans="1:30" ht="21.6" customHeight="1">
      <c r="A15" s="209"/>
      <c r="B15" s="100"/>
      <c r="C15" s="102"/>
      <c r="D15" s="102"/>
      <c r="E15" s="213" t="str">
        <f>IF(CalculationSheet!BR18=1,CalculationSheet!BR11,"")</f>
        <v>A</v>
      </c>
      <c r="F15" s="217" t="str">
        <f>IF(CalculationSheet!BS18=1,CalculationSheet!BS11,"")</f>
        <v/>
      </c>
      <c r="G15" s="218" t="str">
        <f>IF(CalculationSheet!BT18=1,CalculationSheet!BT11,"")</f>
        <v>B</v>
      </c>
      <c r="H15" s="219" t="str">
        <f>IF(CalculationSheet!BU18=1,CalculationSheet!BU11,"")</f>
        <v>C</v>
      </c>
      <c r="I15" s="218" t="str">
        <f>IF(CalculationSheet!BV18=1,CalculationSheet!BV11,"")</f>
        <v/>
      </c>
      <c r="J15" s="219" t="str">
        <f>IF(CalculationSheet!BW18=1,CalculationSheet!BW11,"")</f>
        <v>D</v>
      </c>
      <c r="K15" s="218" t="str">
        <f>IF(CalculationSheet!BX18=1,CalculationSheet!BX11,"")</f>
        <v/>
      </c>
      <c r="L15" s="219" t="str">
        <f>IF(CalculationSheet!BY18=1,CalculationSheet!BY11,"")</f>
        <v>E</v>
      </c>
      <c r="M15" s="218" t="str">
        <f>IF(CalculationSheet!BZ18=1,CalculationSheet!BZ11,"")</f>
        <v>F</v>
      </c>
      <c r="N15" s="219" t="str">
        <f>IF(CalculationSheet!CA18=1,CalculationSheet!CA11,"")</f>
        <v/>
      </c>
      <c r="O15" s="218" t="str">
        <f>IF(CalculationSheet!CB18=1,CalculationSheet!CB11,"")</f>
        <v>G</v>
      </c>
      <c r="P15" s="218" t="str">
        <f>IF(CalculationSheet!CC18=1,CalculationSheet!CC11,"")</f>
        <v/>
      </c>
      <c r="Q15" s="219" t="str">
        <f>IF(CalculationSheet!CD18=1,CalculationSheet!CD11,"")</f>
        <v>A</v>
      </c>
      <c r="R15" s="218" t="str">
        <f>IF(CalculationSheet!CE18=1,CalculationSheet!CE11,"")</f>
        <v/>
      </c>
      <c r="S15" s="218" t="str">
        <f>IF(CalculationSheet!CF18=1,CalculationSheet!CF11,"")</f>
        <v>B</v>
      </c>
      <c r="T15" s="219" t="str">
        <f>IF(CalculationSheet!CG18=1,CalculationSheet!CG11,"")</f>
        <v>C</v>
      </c>
      <c r="U15" s="218" t="str">
        <f>IF(CalculationSheet!CH18=1,CalculationSheet!CH11,"")</f>
        <v/>
      </c>
      <c r="V15" s="219" t="str">
        <f>IF(CalculationSheet!CI18=1,CalculationSheet!CI11,"")</f>
        <v>D</v>
      </c>
      <c r="W15" s="218" t="str">
        <f>IF(CalculationSheet!CJ18=1,CalculationSheet!CJ11,"")</f>
        <v/>
      </c>
      <c r="X15" s="219" t="str">
        <f>IF(CalculationSheet!CK18=1,CalculationSheet!CK11,"")</f>
        <v>E</v>
      </c>
      <c r="Y15" s="218" t="str">
        <f>IF(CalculationSheet!CL18=1,CalculationSheet!CL11,"")</f>
        <v>F</v>
      </c>
      <c r="Z15" s="219" t="str">
        <f>IF(CalculationSheet!CM18=1,CalculationSheet!CM11,"")</f>
        <v/>
      </c>
      <c r="AA15" s="218" t="str">
        <f>IF(CalculationSheet!CN18=1,CalculationSheet!CN11,"")</f>
        <v>G</v>
      </c>
      <c r="AB15" s="129"/>
      <c r="AC15" s="111"/>
      <c r="AD15" s="209"/>
    </row>
    <row r="16" spans="1:30" ht="21.6" customHeight="1" thickBot="1">
      <c r="A16" s="209"/>
      <c r="B16" s="100"/>
      <c r="C16" s="104"/>
      <c r="D16" s="104"/>
      <c r="E16" s="213" t="str">
        <f>IF(CalculationSheet!BR19=1,CalculationSheet!BR12,"")</f>
        <v>E</v>
      </c>
      <c r="F16" s="220" t="str">
        <f>IF(CalculationSheet!BS19=1,CalculationSheet!BS12,"")</f>
        <v>F</v>
      </c>
      <c r="G16" s="221" t="str">
        <f>IF(CalculationSheet!BT19=1,CalculationSheet!BT12,"")</f>
        <v/>
      </c>
      <c r="H16" s="222" t="str">
        <f>IF(CalculationSheet!BU19=1,CalculationSheet!BU12,"")</f>
        <v>G</v>
      </c>
      <c r="I16" s="221" t="str">
        <f>IF(CalculationSheet!BV19=1,CalculationSheet!BV12,"")</f>
        <v/>
      </c>
      <c r="J16" s="222" t="str">
        <f>IF(CalculationSheet!BW19=1,CalculationSheet!BW12,"")</f>
        <v>A</v>
      </c>
      <c r="K16" s="221" t="str">
        <f>IF(CalculationSheet!BX19=1,CalculationSheet!BX12,"")</f>
        <v/>
      </c>
      <c r="L16" s="222" t="str">
        <f>IF(CalculationSheet!BY19=1,CalculationSheet!BY12,"")</f>
        <v>B</v>
      </c>
      <c r="M16" s="221" t="str">
        <f>IF(CalculationSheet!BZ19=1,CalculationSheet!BZ12,"")</f>
        <v>C</v>
      </c>
      <c r="N16" s="222" t="str">
        <f>IF(CalculationSheet!CA19=1,CalculationSheet!CA12,"")</f>
        <v/>
      </c>
      <c r="O16" s="221" t="str">
        <f>IF(CalculationSheet!CB19=1,CalculationSheet!CB12,"")</f>
        <v>D</v>
      </c>
      <c r="P16" s="221" t="str">
        <f>IF(CalculationSheet!CC19=1,CalculationSheet!CC12,"")</f>
        <v/>
      </c>
      <c r="Q16" s="222" t="str">
        <f>IF(CalculationSheet!CD19=1,CalculationSheet!CD12,"")</f>
        <v>E</v>
      </c>
      <c r="R16" s="221" t="str">
        <f>IF(CalculationSheet!CE19=1,CalculationSheet!CE12,"")</f>
        <v>F</v>
      </c>
      <c r="S16" s="221" t="str">
        <f>IF(CalculationSheet!CF19=1,CalculationSheet!CF12,"")</f>
        <v/>
      </c>
      <c r="T16" s="222" t="str">
        <f>IF(CalculationSheet!CG19=1,CalculationSheet!CG12,"")</f>
        <v>G</v>
      </c>
      <c r="U16" s="221" t="str">
        <f>IF(CalculationSheet!CH19=1,CalculationSheet!CH12,"")</f>
        <v/>
      </c>
      <c r="V16" s="222" t="str">
        <f>IF(CalculationSheet!CI19=1,CalculationSheet!CI12,"")</f>
        <v>A</v>
      </c>
      <c r="W16" s="221" t="str">
        <f>IF(CalculationSheet!CJ19=1,CalculationSheet!CJ12,"")</f>
        <v/>
      </c>
      <c r="X16" s="222" t="str">
        <f>IF(CalculationSheet!CK19=1,CalculationSheet!CK12,"")</f>
        <v>B</v>
      </c>
      <c r="Y16" s="221" t="str">
        <f>IF(CalculationSheet!CL19=1,CalculationSheet!CL12,"")</f>
        <v>C</v>
      </c>
      <c r="Z16" s="222" t="str">
        <f>IF(CalculationSheet!CM19=1,CalculationSheet!CM12,"")</f>
        <v/>
      </c>
      <c r="AA16" s="221" t="str">
        <f>IF(CalculationSheet!CN19=1,CalculationSheet!CN12,"")</f>
        <v>D</v>
      </c>
      <c r="AB16" s="130"/>
      <c r="AC16" s="111"/>
      <c r="AD16" s="209"/>
    </row>
    <row r="17" spans="1:30" ht="21" customHeight="1">
      <c r="A17" s="209"/>
      <c r="B17" s="100"/>
      <c r="C17" s="102"/>
      <c r="D17" s="102"/>
      <c r="E17" s="131"/>
      <c r="F17" s="132" t="str">
        <f t="shared" ref="F17:P17" si="0">IF(CapoF=F10,"▲","")</f>
        <v/>
      </c>
      <c r="G17" s="132" t="str">
        <f t="shared" si="0"/>
        <v/>
      </c>
      <c r="H17" s="132" t="str">
        <f t="shared" si="0"/>
        <v/>
      </c>
      <c r="I17" s="132" t="str">
        <f t="shared" si="0"/>
        <v/>
      </c>
      <c r="J17" s="132" t="str">
        <f t="shared" si="0"/>
        <v/>
      </c>
      <c r="K17" s="132" t="str">
        <f t="shared" si="0"/>
        <v/>
      </c>
      <c r="L17" s="132" t="str">
        <f t="shared" si="0"/>
        <v/>
      </c>
      <c r="M17" s="132" t="str">
        <f t="shared" si="0"/>
        <v/>
      </c>
      <c r="N17" s="132" t="str">
        <f t="shared" si="0"/>
        <v/>
      </c>
      <c r="O17" s="132" t="str">
        <f t="shared" si="0"/>
        <v/>
      </c>
      <c r="P17" s="132" t="str">
        <f t="shared" si="0"/>
        <v/>
      </c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02"/>
      <c r="AC17" s="111"/>
      <c r="AD17" s="209"/>
    </row>
    <row r="18" spans="1:30">
      <c r="A18" s="209"/>
      <c r="B18" s="100"/>
      <c r="C18" s="102"/>
      <c r="D18" s="102"/>
      <c r="E18" s="102"/>
      <c r="F18" s="134" t="str">
        <f t="shared" ref="F18:P18" si="1">IF(CapoF=F10,"Capo","")</f>
        <v/>
      </c>
      <c r="G18" s="134" t="str">
        <f t="shared" si="1"/>
        <v/>
      </c>
      <c r="H18" s="134" t="str">
        <f t="shared" si="1"/>
        <v/>
      </c>
      <c r="I18" s="134" t="str">
        <f t="shared" si="1"/>
        <v/>
      </c>
      <c r="J18" s="134" t="str">
        <f t="shared" si="1"/>
        <v/>
      </c>
      <c r="K18" s="134" t="str">
        <f t="shared" si="1"/>
        <v/>
      </c>
      <c r="L18" s="134" t="str">
        <f t="shared" si="1"/>
        <v/>
      </c>
      <c r="M18" s="134" t="str">
        <f t="shared" si="1"/>
        <v/>
      </c>
      <c r="N18" s="134" t="str">
        <f t="shared" si="1"/>
        <v/>
      </c>
      <c r="O18" s="134" t="str">
        <f t="shared" si="1"/>
        <v/>
      </c>
      <c r="P18" s="134" t="str">
        <f t="shared" si="1"/>
        <v/>
      </c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11"/>
      <c r="AD18" s="209"/>
    </row>
    <row r="19" spans="1:30" ht="6" customHeight="1" thickBot="1">
      <c r="A19" s="209"/>
      <c r="B19" s="100"/>
      <c r="C19" s="102"/>
      <c r="D19" s="102"/>
      <c r="E19" s="102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11"/>
      <c r="AD19" s="209"/>
    </row>
    <row r="20" spans="1:30" ht="21" customHeight="1" thickBot="1">
      <c r="A20" s="209"/>
      <c r="B20" s="100"/>
      <c r="C20" s="103" t="str">
        <f>CalculationSheet!CS16</f>
        <v>Capo:</v>
      </c>
      <c r="D20" s="15" t="s">
        <v>122</v>
      </c>
      <c r="E20" s="102"/>
      <c r="F20" s="102"/>
      <c r="G20" s="102"/>
      <c r="H20" s="102"/>
      <c r="I20" s="102"/>
      <c r="J20" s="123"/>
      <c r="K20" s="124">
        <v>1</v>
      </c>
      <c r="L20" s="124">
        <v>2</v>
      </c>
      <c r="M20" s="124">
        <v>3</v>
      </c>
      <c r="N20" s="124">
        <v>4</v>
      </c>
      <c r="O20" s="124">
        <v>5</v>
      </c>
      <c r="P20" s="124">
        <v>6</v>
      </c>
      <c r="Q20" s="124">
        <v>7</v>
      </c>
      <c r="R20" s="124">
        <v>8</v>
      </c>
      <c r="S20" s="124">
        <v>9</v>
      </c>
      <c r="T20" s="124">
        <v>10</v>
      </c>
      <c r="U20" s="124">
        <v>11</v>
      </c>
      <c r="V20" s="126">
        <v>12</v>
      </c>
      <c r="W20" s="124">
        <v>13</v>
      </c>
      <c r="X20" s="124">
        <v>14</v>
      </c>
      <c r="Y20" s="124">
        <v>15</v>
      </c>
      <c r="Z20" s="124">
        <v>16</v>
      </c>
      <c r="AA20" s="124">
        <v>17</v>
      </c>
      <c r="AB20" s="136"/>
      <c r="AC20" s="111"/>
      <c r="AD20" s="209"/>
    </row>
    <row r="21" spans="1:30" ht="21.6" customHeight="1">
      <c r="A21" s="209"/>
      <c r="B21" s="100"/>
      <c r="C21" s="102"/>
      <c r="D21" s="102"/>
      <c r="E21" s="102"/>
      <c r="F21" s="102"/>
      <c r="G21" s="102"/>
      <c r="H21" s="241" t="s">
        <v>285</v>
      </c>
      <c r="I21" s="241"/>
      <c r="J21" s="213" t="str">
        <f>IF(CalculationSheet!BR30=1,CalculationSheet!BR25,"")</f>
        <v>A</v>
      </c>
      <c r="K21" s="214" t="str">
        <f>IF(CalculationSheet!BS30=1,CalculationSheet!BS25,"")</f>
        <v/>
      </c>
      <c r="L21" s="215" t="str">
        <f>IF(CalculationSheet!BT30=1,CalculationSheet!BT25,"")</f>
        <v>B</v>
      </c>
      <c r="M21" s="215" t="str">
        <f>IF(CalculationSheet!BU30=1,CalculationSheet!BU25,"")</f>
        <v>C</v>
      </c>
      <c r="N21" s="215" t="str">
        <f>IF(CalculationSheet!BV30=1,CalculationSheet!BV25,"")</f>
        <v/>
      </c>
      <c r="O21" s="215" t="str">
        <f>IF(CalculationSheet!BW30=1,CalculationSheet!BW25,"")</f>
        <v>D</v>
      </c>
      <c r="P21" s="215" t="str">
        <f>IF(CalculationSheet!BX30=1,CalculationSheet!BX25,"")</f>
        <v/>
      </c>
      <c r="Q21" s="215" t="str">
        <f>IF(CalculationSheet!BY30=1,CalculationSheet!BY25,"")</f>
        <v>E</v>
      </c>
      <c r="R21" s="215" t="str">
        <f>IF(CalculationSheet!BZ30=1,CalculationSheet!BZ25,"")</f>
        <v>F</v>
      </c>
      <c r="S21" s="215" t="str">
        <f>IF(CalculationSheet!CA30=1,CalculationSheet!CA25,"")</f>
        <v/>
      </c>
      <c r="T21" s="215" t="str">
        <f>IF(CalculationSheet!CB30=1,CalculationSheet!CB25,"")</f>
        <v>G</v>
      </c>
      <c r="U21" s="215" t="str">
        <f>IF(CalculationSheet!CC30=1,CalculationSheet!CC25,"")</f>
        <v/>
      </c>
      <c r="V21" s="215" t="str">
        <f>IF(CalculationSheet!CD30=1,CalculationSheet!CD25,"")</f>
        <v>A</v>
      </c>
      <c r="W21" s="215" t="str">
        <f>IF(CalculationSheet!CE30=1,CalculationSheet!CE25,"")</f>
        <v/>
      </c>
      <c r="X21" s="215" t="str">
        <f>IF(CalculationSheet!CF30=1,CalculationSheet!CF25,"")</f>
        <v>B</v>
      </c>
      <c r="Y21" s="215" t="str">
        <f>IF(CalculationSheet!CG30=1,CalculationSheet!CG25,"")</f>
        <v>C</v>
      </c>
      <c r="Z21" s="215" t="str">
        <f>IF(CalculationSheet!CH30=1,CalculationSheet!CH25,"")</f>
        <v/>
      </c>
      <c r="AA21" s="215" t="str">
        <f>IF(CalculationSheet!CI30=1,CalculationSheet!CI25,"")</f>
        <v>D</v>
      </c>
      <c r="AB21" s="137" t="str">
        <f>IF(CalculationSheet!CJ30=1,CalculationSheet!CJ25,"")</f>
        <v/>
      </c>
      <c r="AC21" s="111"/>
      <c r="AD21" s="209"/>
    </row>
    <row r="22" spans="1:30" ht="21.6" customHeight="1">
      <c r="A22" s="209"/>
      <c r="B22" s="100"/>
      <c r="C22" s="102"/>
      <c r="D22" s="102"/>
      <c r="E22" s="102"/>
      <c r="F22" s="102"/>
      <c r="G22" s="133"/>
      <c r="H22" s="242" t="str">
        <f>C12</f>
        <v/>
      </c>
      <c r="I22" s="242"/>
      <c r="J22" s="213" t="str">
        <f>IF(CalculationSheet!BR31=1,CalculationSheet!BR26,"")</f>
        <v>E</v>
      </c>
      <c r="K22" s="217" t="str">
        <f>IF(CalculationSheet!BS31=1,CalculationSheet!BS26,"")</f>
        <v>F</v>
      </c>
      <c r="L22" s="218" t="str">
        <f>IF(CalculationSheet!BT31=1,CalculationSheet!BT26,"")</f>
        <v/>
      </c>
      <c r="M22" s="218" t="str">
        <f>IF(CalculationSheet!BU31=1,CalculationSheet!BU26,"")</f>
        <v>G</v>
      </c>
      <c r="N22" s="218" t="str">
        <f>IF(CalculationSheet!BV31=1,CalculationSheet!BV26,"")</f>
        <v/>
      </c>
      <c r="O22" s="218" t="str">
        <f>IF(CalculationSheet!BW31=1,CalculationSheet!BW26,"")</f>
        <v>A</v>
      </c>
      <c r="P22" s="218" t="str">
        <f>IF(CalculationSheet!BX31=1,CalculationSheet!BX26,"")</f>
        <v/>
      </c>
      <c r="Q22" s="218" t="str">
        <f>IF(CalculationSheet!BY31=1,CalculationSheet!BY26,"")</f>
        <v>B</v>
      </c>
      <c r="R22" s="218" t="str">
        <f>IF(CalculationSheet!BZ31=1,CalculationSheet!BZ26,"")</f>
        <v>C</v>
      </c>
      <c r="S22" s="218" t="str">
        <f>IF(CalculationSheet!CA31=1,CalculationSheet!CA26,"")</f>
        <v/>
      </c>
      <c r="T22" s="218" t="str">
        <f>IF(CalculationSheet!CB31=1,CalculationSheet!CB26,"")</f>
        <v>D</v>
      </c>
      <c r="U22" s="218" t="str">
        <f>IF(CalculationSheet!CC31=1,CalculationSheet!CC26,"")</f>
        <v/>
      </c>
      <c r="V22" s="218" t="str">
        <f>IF(CalculationSheet!CD31=1,CalculationSheet!CD26,"")</f>
        <v>E</v>
      </c>
      <c r="W22" s="218" t="str">
        <f>IF(CalculationSheet!CE31=1,CalculationSheet!CE26,"")</f>
        <v>F</v>
      </c>
      <c r="X22" s="218" t="str">
        <f>IF(CalculationSheet!CF31=1,CalculationSheet!CF26,"")</f>
        <v/>
      </c>
      <c r="Y22" s="218" t="str">
        <f>IF(CalculationSheet!CG31=1,CalculationSheet!CG26,"")</f>
        <v>G</v>
      </c>
      <c r="Z22" s="218" t="str">
        <f>IF(CalculationSheet!CH31=1,CalculationSheet!CH26,"")</f>
        <v/>
      </c>
      <c r="AA22" s="218" t="str">
        <f>IF(CalculationSheet!CI31=1,CalculationSheet!CI26,"")</f>
        <v>A</v>
      </c>
      <c r="AB22" s="138" t="str">
        <f>IF(CalculationSheet!CJ31=1,CalculationSheet!CJ26,"")</f>
        <v/>
      </c>
      <c r="AC22" s="111"/>
      <c r="AD22" s="209"/>
    </row>
    <row r="23" spans="1:30" ht="21.6" customHeight="1" thickBot="1">
      <c r="A23" s="209"/>
      <c r="B23" s="100"/>
      <c r="C23" s="106" t="str">
        <f>CalculationSheet!CS13</f>
        <v>Display only chord tones</v>
      </c>
      <c r="D23" s="102"/>
      <c r="E23" s="102"/>
      <c r="F23" s="102"/>
      <c r="G23" s="133"/>
      <c r="H23" s="242"/>
      <c r="I23" s="242"/>
      <c r="J23" s="213" t="str">
        <f>IF(CalculationSheet!BR32=1,CalculationSheet!BR27,"")</f>
        <v>C</v>
      </c>
      <c r="K23" s="217" t="str">
        <f>IF(CalculationSheet!BS32=1,CalculationSheet!BS27,"")</f>
        <v/>
      </c>
      <c r="L23" s="218" t="str">
        <f>IF(CalculationSheet!BT32=1,CalculationSheet!BT27,"")</f>
        <v>D</v>
      </c>
      <c r="M23" s="218" t="str">
        <f>IF(CalculationSheet!BU32=1,CalculationSheet!BU27,"")</f>
        <v/>
      </c>
      <c r="N23" s="218" t="str">
        <f>IF(CalculationSheet!BV32=1,CalculationSheet!BV27,"")</f>
        <v>E</v>
      </c>
      <c r="O23" s="218" t="str">
        <f>IF(CalculationSheet!BW32=1,CalculationSheet!BW27,"")</f>
        <v>F</v>
      </c>
      <c r="P23" s="218" t="str">
        <f>IF(CalculationSheet!BX32=1,CalculationSheet!BX27,"")</f>
        <v/>
      </c>
      <c r="Q23" s="218" t="str">
        <f>IF(CalculationSheet!BY32=1,CalculationSheet!BY27,"")</f>
        <v>G</v>
      </c>
      <c r="R23" s="218" t="str">
        <f>IF(CalculationSheet!BZ32=1,CalculationSheet!BZ27,"")</f>
        <v/>
      </c>
      <c r="S23" s="218" t="str">
        <f>IF(CalculationSheet!CA32=1,CalculationSheet!CA27,"")</f>
        <v>A</v>
      </c>
      <c r="T23" s="218" t="str">
        <f>IF(CalculationSheet!CB32=1,CalculationSheet!CB27,"")</f>
        <v/>
      </c>
      <c r="U23" s="218" t="str">
        <f>IF(CalculationSheet!CC32=1,CalculationSheet!CC27,"")</f>
        <v>B</v>
      </c>
      <c r="V23" s="218" t="str">
        <f>IF(CalculationSheet!CD32=1,CalculationSheet!CD27,"")</f>
        <v>C</v>
      </c>
      <c r="W23" s="218" t="str">
        <f>IF(CalculationSheet!CE32=1,CalculationSheet!CE27,"")</f>
        <v/>
      </c>
      <c r="X23" s="218" t="str">
        <f>IF(CalculationSheet!CF32=1,CalculationSheet!CF27,"")</f>
        <v>D</v>
      </c>
      <c r="Y23" s="218" t="str">
        <f>IF(CalculationSheet!CG32=1,CalculationSheet!CG27,"")</f>
        <v/>
      </c>
      <c r="Z23" s="218" t="str">
        <f>IF(CalculationSheet!CH32=1,CalculationSheet!CH27,"")</f>
        <v>E</v>
      </c>
      <c r="AA23" s="218" t="str">
        <f>IF(CalculationSheet!CI32=1,CalculationSheet!CI27,"")</f>
        <v>F</v>
      </c>
      <c r="AB23" s="138" t="str">
        <f>IF(CalculationSheet!CJ32=1,CalculationSheet!CJ27,"")</f>
        <v/>
      </c>
      <c r="AC23" s="111"/>
      <c r="AD23" s="209"/>
    </row>
    <row r="24" spans="1:30" ht="21.6" customHeight="1" thickBot="1">
      <c r="A24" s="209"/>
      <c r="B24" s="100"/>
      <c r="C24" s="103" t="str">
        <f>CalculationSheet!CS14</f>
        <v>Degree:</v>
      </c>
      <c r="D24" s="14" t="s">
        <v>286</v>
      </c>
      <c r="E24" s="102"/>
      <c r="F24" s="102"/>
      <c r="G24" s="248" t="str">
        <f>B14</f>
        <v/>
      </c>
      <c r="H24" s="248"/>
      <c r="I24" s="248"/>
      <c r="J24" s="213" t="str">
        <f>IF(CalculationSheet!BR33=1,CalculationSheet!BR28,"")</f>
        <v>G</v>
      </c>
      <c r="K24" s="220" t="str">
        <f>IF(CalculationSheet!BS33=1,CalculationSheet!BS28,"")</f>
        <v/>
      </c>
      <c r="L24" s="221" t="str">
        <f>IF(CalculationSheet!BT33=1,CalculationSheet!BT28,"")</f>
        <v>A</v>
      </c>
      <c r="M24" s="221" t="str">
        <f>IF(CalculationSheet!BU33=1,CalculationSheet!BU28,"")</f>
        <v/>
      </c>
      <c r="N24" s="221" t="str">
        <f>IF(CalculationSheet!BV33=1,CalculationSheet!BV28,"")</f>
        <v>B</v>
      </c>
      <c r="O24" s="221" t="str">
        <f>IF(CalculationSheet!BW33=1,CalculationSheet!BW28,"")</f>
        <v>C</v>
      </c>
      <c r="P24" s="221" t="str">
        <f>IF(CalculationSheet!BX33=1,CalculationSheet!BX28,"")</f>
        <v/>
      </c>
      <c r="Q24" s="221" t="str">
        <f>IF(CalculationSheet!BY33=1,CalculationSheet!BY28,"")</f>
        <v>D</v>
      </c>
      <c r="R24" s="221" t="str">
        <f>IF(CalculationSheet!BZ33=1,CalculationSheet!BZ28,"")</f>
        <v/>
      </c>
      <c r="S24" s="221" t="str">
        <f>IF(CalculationSheet!CA33=1,CalculationSheet!CA28,"")</f>
        <v>E</v>
      </c>
      <c r="T24" s="221" t="str">
        <f>IF(CalculationSheet!CB33=1,CalculationSheet!CB28,"")</f>
        <v>F</v>
      </c>
      <c r="U24" s="221" t="str">
        <f>IF(CalculationSheet!CC33=1,CalculationSheet!CC28,"")</f>
        <v/>
      </c>
      <c r="V24" s="221" t="str">
        <f>IF(CalculationSheet!CD33=1,CalculationSheet!CD28,"")</f>
        <v>G</v>
      </c>
      <c r="W24" s="221" t="str">
        <f>IF(CalculationSheet!CE33=1,CalculationSheet!CE28,"")</f>
        <v/>
      </c>
      <c r="X24" s="221" t="str">
        <f>IF(CalculationSheet!CF33=1,CalculationSheet!CF28,"")</f>
        <v>A</v>
      </c>
      <c r="Y24" s="221" t="str">
        <f>IF(CalculationSheet!CG33=1,CalculationSheet!CG28,"")</f>
        <v/>
      </c>
      <c r="Z24" s="221" t="str">
        <f>IF(CalculationSheet!CH33=1,CalculationSheet!CH28,"")</f>
        <v>B</v>
      </c>
      <c r="AA24" s="221" t="str">
        <f>IF(CalculationSheet!CI33=1,CalculationSheet!CI28,"")</f>
        <v>C</v>
      </c>
      <c r="AB24" s="139" t="str">
        <f>IF(CalculationSheet!CJ33=1,CalculationSheet!CJ28,"")</f>
        <v/>
      </c>
      <c r="AC24" s="111"/>
      <c r="AD24" s="209"/>
    </row>
    <row r="25" spans="1:30" ht="21" customHeight="1" thickBot="1">
      <c r="A25" s="209"/>
      <c r="B25" s="100"/>
      <c r="C25" s="103" t="str">
        <f>CalculationSheet!CS15</f>
        <v>Triad/7th:</v>
      </c>
      <c r="D25" s="16" t="s">
        <v>130</v>
      </c>
      <c r="E25" s="102"/>
      <c r="F25" s="102"/>
      <c r="G25" s="102"/>
      <c r="H25" s="102"/>
      <c r="I25" s="102"/>
      <c r="J25" s="131"/>
      <c r="K25" s="132" t="str">
        <f t="shared" ref="K25:U25" si="2">IF(CapoF=K20,"▲","")</f>
        <v/>
      </c>
      <c r="L25" s="140" t="str">
        <f t="shared" si="2"/>
        <v/>
      </c>
      <c r="M25" s="140" t="str">
        <f t="shared" si="2"/>
        <v/>
      </c>
      <c r="N25" s="140" t="str">
        <f t="shared" si="2"/>
        <v/>
      </c>
      <c r="O25" s="140" t="str">
        <f t="shared" si="2"/>
        <v/>
      </c>
      <c r="P25" s="140" t="str">
        <f t="shared" si="2"/>
        <v/>
      </c>
      <c r="Q25" s="140" t="str">
        <f t="shared" si="2"/>
        <v/>
      </c>
      <c r="R25" s="140" t="str">
        <f t="shared" si="2"/>
        <v/>
      </c>
      <c r="S25" s="140" t="str">
        <f t="shared" si="2"/>
        <v/>
      </c>
      <c r="T25" s="140" t="str">
        <f t="shared" si="2"/>
        <v/>
      </c>
      <c r="U25" s="140" t="str">
        <f t="shared" si="2"/>
        <v/>
      </c>
      <c r="V25" s="141"/>
      <c r="W25" s="141"/>
      <c r="X25" s="142"/>
      <c r="Y25" s="102"/>
      <c r="Z25" s="102"/>
      <c r="AA25" s="102"/>
      <c r="AB25" s="102"/>
      <c r="AC25" s="111"/>
      <c r="AD25" s="209"/>
    </row>
    <row r="26" spans="1:30" ht="20.100000000000001" customHeight="1" thickBot="1">
      <c r="A26" s="209"/>
      <c r="B26" s="100"/>
      <c r="C26" s="102"/>
      <c r="D26" s="102"/>
      <c r="E26" s="102"/>
      <c r="F26" s="102"/>
      <c r="G26" s="102"/>
      <c r="H26" s="102"/>
      <c r="I26" s="102"/>
      <c r="J26" s="102"/>
      <c r="K26" s="134" t="str">
        <f t="shared" ref="K26:U26" si="3">IF(CapoF=K20,"Capo","")</f>
        <v/>
      </c>
      <c r="L26" s="134" t="str">
        <f t="shared" si="3"/>
        <v/>
      </c>
      <c r="M26" s="134" t="str">
        <f t="shared" si="3"/>
        <v/>
      </c>
      <c r="N26" s="134" t="str">
        <f t="shared" si="3"/>
        <v/>
      </c>
      <c r="O26" s="134" t="str">
        <f t="shared" si="3"/>
        <v/>
      </c>
      <c r="P26" s="134" t="str">
        <f t="shared" si="3"/>
        <v/>
      </c>
      <c r="Q26" s="134" t="str">
        <f t="shared" si="3"/>
        <v/>
      </c>
      <c r="R26" s="134" t="str">
        <f t="shared" si="3"/>
        <v/>
      </c>
      <c r="S26" s="134" t="str">
        <f t="shared" si="3"/>
        <v/>
      </c>
      <c r="T26" s="134" t="str">
        <f t="shared" si="3"/>
        <v/>
      </c>
      <c r="U26" s="134" t="str">
        <f t="shared" si="3"/>
        <v/>
      </c>
      <c r="V26" s="102"/>
      <c r="W26" s="102"/>
      <c r="X26" s="102"/>
      <c r="Y26" s="102"/>
      <c r="Z26" s="102"/>
      <c r="AA26" s="102"/>
      <c r="AB26" s="102"/>
      <c r="AC26" s="111"/>
      <c r="AD26" s="209"/>
    </row>
    <row r="27" spans="1:30" ht="21" customHeight="1">
      <c r="A27" s="209"/>
      <c r="B27" s="100"/>
      <c r="C27" s="143" t="str">
        <f>CalculationSheet!H119</f>
        <v xml:space="preserve"> C Major Diatonic Chords</v>
      </c>
      <c r="D27" s="144"/>
      <c r="E27" s="144"/>
      <c r="F27" s="144"/>
      <c r="G27" s="144"/>
      <c r="H27" s="144"/>
      <c r="I27" s="144"/>
      <c r="J27" s="145"/>
      <c r="K27" s="233" t="s">
        <v>247</v>
      </c>
      <c r="L27" s="104"/>
      <c r="M27" s="104"/>
      <c r="N27" s="142"/>
      <c r="O27" s="176" t="str">
        <f>" ■ "&amp;CalculationSheet!CS50</f>
        <v xml:space="preserve"> ■ User settings</v>
      </c>
      <c r="P27" s="177"/>
      <c r="Q27" s="177"/>
      <c r="R27" s="177"/>
      <c r="S27" s="177"/>
      <c r="T27" s="178"/>
      <c r="U27" s="178"/>
      <c r="V27" s="178"/>
      <c r="W27" s="178"/>
      <c r="X27" s="178"/>
      <c r="Y27" s="178"/>
      <c r="Z27" s="178"/>
      <c r="AA27" s="178"/>
      <c r="AB27" s="179"/>
      <c r="AC27" s="111"/>
      <c r="AD27" s="209"/>
    </row>
    <row r="28" spans="1:30" ht="18.75" customHeight="1">
      <c r="A28" s="209"/>
      <c r="B28" s="100"/>
      <c r="C28" s="236" t="str">
        <f>CalculationSheet!CS18</f>
        <v>Degree Name</v>
      </c>
      <c r="D28" s="232" t="str">
        <f>CalculationSheet!CS19</f>
        <v>Triad Chord</v>
      </c>
      <c r="E28" s="232" t="str">
        <f>CalculationSheet!CS20</f>
        <v>7th Chord</v>
      </c>
      <c r="F28" s="243" t="s">
        <v>131</v>
      </c>
      <c r="G28" s="244"/>
      <c r="H28" s="245"/>
      <c r="I28" s="146" t="s">
        <v>92</v>
      </c>
      <c r="J28" s="246" t="str">
        <f>CalculationSheet!CS21</f>
        <v>Function</v>
      </c>
      <c r="K28" s="234"/>
      <c r="L28" s="104"/>
      <c r="M28" s="104"/>
      <c r="N28" s="102"/>
      <c r="O28" s="180"/>
      <c r="P28" s="181" t="str">
        <f>CalculationSheet!CS22</f>
        <v xml:space="preserve">Tuner </v>
      </c>
      <c r="Q28" s="235" t="str">
        <f>CalculationSheet!BV60</f>
        <v/>
      </c>
      <c r="R28" s="235"/>
      <c r="S28" s="235"/>
      <c r="T28" s="235"/>
      <c r="U28" s="182"/>
      <c r="V28" s="182"/>
      <c r="W28" s="182"/>
      <c r="X28" s="182"/>
      <c r="Y28" s="182"/>
      <c r="Z28" s="182"/>
      <c r="AA28" s="182"/>
      <c r="AB28" s="183"/>
      <c r="AC28" s="111"/>
      <c r="AD28" s="209"/>
    </row>
    <row r="29" spans="1:30" ht="18.75" customHeight="1" thickBot="1">
      <c r="A29" s="209"/>
      <c r="B29" s="100"/>
      <c r="C29" s="236"/>
      <c r="D29" s="232"/>
      <c r="E29" s="232"/>
      <c r="F29" s="147" t="s">
        <v>381</v>
      </c>
      <c r="G29" s="147" t="s">
        <v>382</v>
      </c>
      <c r="H29" s="147" t="s">
        <v>383</v>
      </c>
      <c r="I29" s="148" t="s">
        <v>384</v>
      </c>
      <c r="J29" s="246"/>
      <c r="K29" s="149" t="str">
        <f>CalculationSheet!AB80</f>
        <v>NA</v>
      </c>
      <c r="L29" s="104"/>
      <c r="M29" s="104"/>
      <c r="N29" s="102"/>
      <c r="O29" s="180"/>
      <c r="P29" s="239" t="s">
        <v>251</v>
      </c>
      <c r="Q29" s="239"/>
      <c r="R29" s="182"/>
      <c r="S29" s="239" t="s">
        <v>252</v>
      </c>
      <c r="T29" s="239"/>
      <c r="U29" s="182"/>
      <c r="V29" s="184" t="str">
        <f>CalculationSheet!CS24</f>
        <v>Ukulele Position Marks</v>
      </c>
      <c r="W29" s="182"/>
      <c r="X29" s="182"/>
      <c r="Y29" s="182"/>
      <c r="Z29" s="182"/>
      <c r="AA29" s="182"/>
      <c r="AB29" s="183"/>
      <c r="AC29" s="111"/>
      <c r="AD29" s="209"/>
    </row>
    <row r="30" spans="1:30" ht="18.75" customHeight="1" thickBot="1">
      <c r="A30" s="209"/>
      <c r="B30" s="100"/>
      <c r="C30" s="150" t="str">
        <f>CalculationSheet!AF57</f>
        <v>I</v>
      </c>
      <c r="D30" s="151" t="str">
        <f>CalculationSheet!AG57</f>
        <v>C</v>
      </c>
      <c r="E30" s="151" t="str">
        <f>CalculationSheet!AH57</f>
        <v>C△7</v>
      </c>
      <c r="F30" s="152" t="str">
        <f>CalculationSheet!AI57</f>
        <v>C</v>
      </c>
      <c r="G30" s="152" t="str">
        <f>CalculationSheet!AJ57</f>
        <v>E</v>
      </c>
      <c r="H30" s="152" t="str">
        <f>CalculationSheet!AK57</f>
        <v>G</v>
      </c>
      <c r="I30" s="153" t="str">
        <f>CalculationSheet!AL57</f>
        <v>B</v>
      </c>
      <c r="J30" s="154" t="str">
        <f>CalculationSheet!AM57</f>
        <v>T</v>
      </c>
      <c r="K30" s="155" t="str">
        <f>CalculationSheet!AB81</f>
        <v>NA</v>
      </c>
      <c r="L30" s="102"/>
      <c r="M30" s="102"/>
      <c r="N30" s="102"/>
      <c r="O30" s="180"/>
      <c r="P30" s="185" t="str">
        <f>CalculationSheet!CS51</f>
        <v>1st(E):</v>
      </c>
      <c r="Q30" s="8" t="s">
        <v>410</v>
      </c>
      <c r="R30" s="186" t="str">
        <f>CalculationSheet!CC48</f>
        <v/>
      </c>
      <c r="S30" s="185" t="str">
        <f>CalculationSheet!CS58</f>
        <v>1st(A):</v>
      </c>
      <c r="T30" s="8" t="s">
        <v>411</v>
      </c>
      <c r="U30" s="186" t="str">
        <f>CalculationSheet!CC54</f>
        <v/>
      </c>
      <c r="V30" s="9">
        <v>5</v>
      </c>
      <c r="W30" s="10">
        <v>7</v>
      </c>
      <c r="X30" s="10">
        <v>10</v>
      </c>
      <c r="Y30" s="10"/>
      <c r="Z30" s="10"/>
      <c r="AA30" s="11"/>
      <c r="AB30" s="188" t="s">
        <v>179</v>
      </c>
      <c r="AC30" s="111"/>
      <c r="AD30" s="209"/>
    </row>
    <row r="31" spans="1:30" ht="18.75" customHeight="1" thickBot="1">
      <c r="A31" s="209"/>
      <c r="B31" s="100"/>
      <c r="C31" s="156" t="str">
        <f>CalculationSheet!AF58</f>
        <v>II</v>
      </c>
      <c r="D31" s="157" t="str">
        <f>CalculationSheet!AG58</f>
        <v>Dm</v>
      </c>
      <c r="E31" s="157" t="str">
        <f>CalculationSheet!AH58</f>
        <v>Dm7</v>
      </c>
      <c r="F31" s="158" t="str">
        <f>CalculationSheet!AI58</f>
        <v>D</v>
      </c>
      <c r="G31" s="158" t="str">
        <f>CalculationSheet!AJ58</f>
        <v>F</v>
      </c>
      <c r="H31" s="158" t="str">
        <f>CalculationSheet!AK58</f>
        <v>A</v>
      </c>
      <c r="I31" s="159" t="str">
        <f>CalculationSheet!AL58</f>
        <v>C</v>
      </c>
      <c r="J31" s="160" t="str">
        <f>CalculationSheet!AM58</f>
        <v>SD</v>
      </c>
      <c r="K31" s="161" t="str">
        <f>CalculationSheet!AB82</f>
        <v>NA</v>
      </c>
      <c r="L31" s="102"/>
      <c r="M31" s="102"/>
      <c r="N31" s="102"/>
      <c r="O31" s="180"/>
      <c r="P31" s="185" t="str">
        <f>CalculationSheet!CS52</f>
        <v>2nd(B):</v>
      </c>
      <c r="Q31" s="12" t="s">
        <v>405</v>
      </c>
      <c r="R31" s="186" t="str">
        <f>CalculationSheet!CC49</f>
        <v/>
      </c>
      <c r="S31" s="185" t="str">
        <f>CalculationSheet!CS59</f>
        <v>2nd(E):</v>
      </c>
      <c r="T31" s="12" t="s">
        <v>404</v>
      </c>
      <c r="U31" s="186" t="str">
        <f>CalculationSheet!CC55</f>
        <v/>
      </c>
      <c r="V31" s="182"/>
      <c r="W31" s="182"/>
      <c r="X31" s="182"/>
      <c r="Y31" s="182"/>
      <c r="Z31" s="182"/>
      <c r="AA31" s="182"/>
      <c r="AB31" s="183"/>
      <c r="AC31" s="111"/>
      <c r="AD31" s="209"/>
    </row>
    <row r="32" spans="1:30" ht="18.75" customHeight="1" thickBot="1">
      <c r="A32" s="209"/>
      <c r="B32" s="100"/>
      <c r="C32" s="162" t="str">
        <f>CalculationSheet!AF59</f>
        <v>III</v>
      </c>
      <c r="D32" s="163" t="str">
        <f>CalculationSheet!AG59</f>
        <v>Em</v>
      </c>
      <c r="E32" s="163" t="str">
        <f>CalculationSheet!AH59</f>
        <v>Em7</v>
      </c>
      <c r="F32" s="152" t="str">
        <f>CalculationSheet!AI59</f>
        <v>E</v>
      </c>
      <c r="G32" s="152" t="str">
        <f>CalculationSheet!AJ59</f>
        <v>G</v>
      </c>
      <c r="H32" s="152" t="str">
        <f>CalculationSheet!AK59</f>
        <v>B</v>
      </c>
      <c r="I32" s="153" t="str">
        <f>CalculationSheet!AL59</f>
        <v>D</v>
      </c>
      <c r="J32" s="164" t="str">
        <f>CalculationSheet!AM59</f>
        <v>T</v>
      </c>
      <c r="K32" s="155" t="str">
        <f>CalculationSheet!AB83</f>
        <v>NA</v>
      </c>
      <c r="L32" s="102"/>
      <c r="M32" s="102"/>
      <c r="N32" s="102"/>
      <c r="O32" s="180"/>
      <c r="P32" s="185" t="str">
        <f>CalculationSheet!CS53</f>
        <v>3rd(G):</v>
      </c>
      <c r="Q32" s="12" t="s">
        <v>406</v>
      </c>
      <c r="R32" s="186" t="str">
        <f>CalculationSheet!CC50</f>
        <v/>
      </c>
      <c r="S32" s="185" t="str">
        <f>CalculationSheet!CS60</f>
        <v>3rd(C):</v>
      </c>
      <c r="T32" s="12" t="s">
        <v>409</v>
      </c>
      <c r="U32" s="186" t="str">
        <f>CalculationSheet!CC56</f>
        <v/>
      </c>
      <c r="V32" s="182"/>
      <c r="W32" s="182"/>
      <c r="X32" s="189"/>
      <c r="Y32" s="190" t="s">
        <v>413</v>
      </c>
      <c r="Z32" s="228" t="s">
        <v>415</v>
      </c>
      <c r="AA32" s="229"/>
      <c r="AB32" s="183"/>
      <c r="AC32" s="111"/>
      <c r="AD32" s="209"/>
    </row>
    <row r="33" spans="1:30" ht="18.75" customHeight="1" thickBot="1">
      <c r="A33" s="209"/>
      <c r="B33" s="100"/>
      <c r="C33" s="223" t="str">
        <f>CalculationSheet!AF60</f>
        <v>IV</v>
      </c>
      <c r="D33" s="224" t="str">
        <f>CalculationSheet!AG60</f>
        <v>F</v>
      </c>
      <c r="E33" s="224" t="str">
        <f>CalculationSheet!AH60</f>
        <v>F△7</v>
      </c>
      <c r="F33" s="158" t="str">
        <f>CalculationSheet!AI60</f>
        <v>F</v>
      </c>
      <c r="G33" s="158" t="str">
        <f>CalculationSheet!AJ60</f>
        <v>A</v>
      </c>
      <c r="H33" s="158" t="str">
        <f>CalculationSheet!AK60</f>
        <v>C</v>
      </c>
      <c r="I33" s="159" t="str">
        <f>CalculationSheet!AL60</f>
        <v>E</v>
      </c>
      <c r="J33" s="225" t="str">
        <f>CalculationSheet!AM60</f>
        <v>SD</v>
      </c>
      <c r="K33" s="161" t="str">
        <f>CalculationSheet!AB84</f>
        <v>NA</v>
      </c>
      <c r="L33" s="102"/>
      <c r="M33" s="102"/>
      <c r="N33" s="102"/>
      <c r="O33" s="180"/>
      <c r="P33" s="185" t="str">
        <f>CalculationSheet!CS54</f>
        <v>4th(D):</v>
      </c>
      <c r="Q33" s="12" t="s">
        <v>407</v>
      </c>
      <c r="R33" s="186" t="str">
        <f>CalculationSheet!CC51</f>
        <v/>
      </c>
      <c r="S33" s="185" t="str">
        <f>CalculationSheet!CS61</f>
        <v>4th(G):</v>
      </c>
      <c r="T33" s="13" t="s">
        <v>412</v>
      </c>
      <c r="U33" s="186" t="str">
        <f>CalculationSheet!CC57</f>
        <v/>
      </c>
      <c r="V33" s="182"/>
      <c r="W33" s="182"/>
      <c r="X33" s="182"/>
      <c r="Y33" s="190" t="s">
        <v>376</v>
      </c>
      <c r="Z33" s="228" t="s">
        <v>385</v>
      </c>
      <c r="AA33" s="229"/>
      <c r="AB33" s="183"/>
      <c r="AC33" s="111"/>
      <c r="AD33" s="209"/>
    </row>
    <row r="34" spans="1:30" ht="18.75" customHeight="1" thickBot="1">
      <c r="A34" s="209"/>
      <c r="B34" s="100"/>
      <c r="C34" s="165" t="str">
        <f>CalculationSheet!AF61</f>
        <v>V</v>
      </c>
      <c r="D34" s="166" t="str">
        <f>CalculationSheet!AG61</f>
        <v>G</v>
      </c>
      <c r="E34" s="166" t="str">
        <f>CalculationSheet!AH61</f>
        <v>G7</v>
      </c>
      <c r="F34" s="152" t="str">
        <f>CalculationSheet!AI61</f>
        <v>G</v>
      </c>
      <c r="G34" s="152" t="str">
        <f>CalculationSheet!AJ61</f>
        <v>B</v>
      </c>
      <c r="H34" s="152" t="str">
        <f>CalculationSheet!AK61</f>
        <v>D</v>
      </c>
      <c r="I34" s="153" t="str">
        <f>CalculationSheet!AL61</f>
        <v>F</v>
      </c>
      <c r="J34" s="167" t="str">
        <f>CalculationSheet!AM61</f>
        <v>D</v>
      </c>
      <c r="K34" s="155" t="str">
        <f>CalculationSheet!AB85</f>
        <v>NA</v>
      </c>
      <c r="L34" s="102"/>
      <c r="M34" s="102"/>
      <c r="N34" s="102"/>
      <c r="O34" s="180"/>
      <c r="P34" s="185" t="str">
        <f>CalculationSheet!CS55</f>
        <v>5th(A):</v>
      </c>
      <c r="Q34" s="12" t="s">
        <v>408</v>
      </c>
      <c r="R34" s="186" t="str">
        <f>CalculationSheet!CC52</f>
        <v/>
      </c>
      <c r="S34" s="182"/>
      <c r="T34" s="182"/>
      <c r="U34" s="182"/>
      <c r="V34" s="182"/>
      <c r="W34" s="182"/>
      <c r="X34" s="182"/>
      <c r="Y34" s="182"/>
      <c r="Z34" s="182"/>
      <c r="AA34" s="182"/>
      <c r="AB34" s="183"/>
      <c r="AC34" s="111"/>
      <c r="AD34" s="209"/>
    </row>
    <row r="35" spans="1:30" ht="18.75" customHeight="1" thickBot="1">
      <c r="A35" s="209"/>
      <c r="B35" s="100"/>
      <c r="C35" s="156" t="str">
        <f>CalculationSheet!AF62</f>
        <v>VI</v>
      </c>
      <c r="D35" s="157" t="str">
        <f>CalculationSheet!AG62</f>
        <v>Am</v>
      </c>
      <c r="E35" s="157" t="str">
        <f>CalculationSheet!AH62</f>
        <v>Am7</v>
      </c>
      <c r="F35" s="158" t="str">
        <f>CalculationSheet!AI62</f>
        <v>A</v>
      </c>
      <c r="G35" s="158" t="str">
        <f>CalculationSheet!AJ62</f>
        <v>C</v>
      </c>
      <c r="H35" s="158" t="str">
        <f>CalculationSheet!AK62</f>
        <v>E</v>
      </c>
      <c r="I35" s="159" t="str">
        <f>CalculationSheet!AL62</f>
        <v>G</v>
      </c>
      <c r="J35" s="160" t="str">
        <f>CalculationSheet!AM62</f>
        <v>T</v>
      </c>
      <c r="K35" s="161" t="str">
        <f>CalculationSheet!AB86</f>
        <v>NA</v>
      </c>
      <c r="L35" s="102"/>
      <c r="M35" s="102"/>
      <c r="N35" s="102"/>
      <c r="O35" s="180"/>
      <c r="P35" s="185" t="str">
        <f>CalculationSheet!CS56</f>
        <v>6th(E):</v>
      </c>
      <c r="Q35" s="13" t="s">
        <v>410</v>
      </c>
      <c r="R35" s="186" t="str">
        <f>CalculationSheet!CC53</f>
        <v/>
      </c>
      <c r="S35" s="187" t="str">
        <f>CalculationSheet!CS23</f>
        <v>※( ) is Standard tuning</v>
      </c>
      <c r="T35" s="182"/>
      <c r="U35" s="182"/>
      <c r="V35" s="182"/>
      <c r="W35" s="182"/>
      <c r="X35" s="182"/>
      <c r="Y35" s="190" t="s">
        <v>180</v>
      </c>
      <c r="Z35" s="228" t="s">
        <v>111</v>
      </c>
      <c r="AA35" s="229"/>
      <c r="AB35" s="183"/>
      <c r="AC35" s="111"/>
      <c r="AD35" s="209"/>
    </row>
    <row r="36" spans="1:30" ht="18.75" customHeight="1" thickBot="1">
      <c r="A36" s="209"/>
      <c r="B36" s="100"/>
      <c r="C36" s="168" t="str">
        <f>CalculationSheet!AF63</f>
        <v>VII</v>
      </c>
      <c r="D36" s="169" t="str">
        <f>CalculationSheet!AG63</f>
        <v>Bm(♭5)</v>
      </c>
      <c r="E36" s="169" t="str">
        <f>CalculationSheet!AH63</f>
        <v>Bm7(♭5)</v>
      </c>
      <c r="F36" s="170" t="str">
        <f>CalculationSheet!AI63</f>
        <v>B</v>
      </c>
      <c r="G36" s="170" t="str">
        <f>CalculationSheet!AJ63</f>
        <v>D</v>
      </c>
      <c r="H36" s="170" t="str">
        <f>CalculationSheet!AK63</f>
        <v>F</v>
      </c>
      <c r="I36" s="171" t="str">
        <f>CalculationSheet!AL63</f>
        <v>A</v>
      </c>
      <c r="J36" s="172" t="str">
        <f>CalculationSheet!AM63</f>
        <v>D</v>
      </c>
      <c r="K36" s="173" t="str">
        <f>CalculationSheet!AB87</f>
        <v>NA</v>
      </c>
      <c r="L36" s="102"/>
      <c r="M36" s="102"/>
      <c r="N36" s="102"/>
      <c r="O36" s="191"/>
      <c r="P36" s="192"/>
      <c r="Q36" s="192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93"/>
      <c r="AC36" s="111"/>
      <c r="AD36" s="209"/>
    </row>
    <row r="37" spans="1:30" ht="19.5" thickBot="1">
      <c r="A37" s="209"/>
      <c r="B37" s="174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94"/>
      <c r="AD37" s="209"/>
    </row>
    <row r="38" spans="1:30" ht="15" customHeight="1" thickTop="1">
      <c r="A38" s="209"/>
      <c r="B38" s="209"/>
      <c r="C38" s="209"/>
      <c r="D38" s="209"/>
      <c r="E38" s="209"/>
      <c r="F38" s="209"/>
      <c r="G38" s="209"/>
      <c r="H38" s="209"/>
      <c r="I38" s="209"/>
      <c r="J38" s="209"/>
      <c r="K38" s="209"/>
      <c r="L38" s="209"/>
      <c r="M38" s="209"/>
      <c r="N38" s="209"/>
      <c r="O38" s="209"/>
      <c r="P38" s="209"/>
      <c r="Q38" s="209"/>
      <c r="R38" s="209"/>
      <c r="S38" s="209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  <c r="AD38" s="209"/>
    </row>
  </sheetData>
  <sheetProtection algorithmName="SHA-512" hashValue="Qt7EmOCVWuM/yb73JKQmJ+XCnJblyWGETZKj4n3I43JY5RXJjcxhuFtCHLesERLqTWrkGeIo+zQhn03EDOtFrw==" saltValue="st96fodioUd3XaGYZPZasg==" spinCount="100000" sheet="1" objects="1" scenarios="1" selectLockedCells="1"/>
  <mergeCells count="21">
    <mergeCell ref="C28:C29"/>
    <mergeCell ref="F4:G4"/>
    <mergeCell ref="Z35:AA35"/>
    <mergeCell ref="P29:Q29"/>
    <mergeCell ref="S29:T29"/>
    <mergeCell ref="C11:D11"/>
    <mergeCell ref="H21:I21"/>
    <mergeCell ref="H22:I23"/>
    <mergeCell ref="C12:D13"/>
    <mergeCell ref="F28:H28"/>
    <mergeCell ref="J28:J29"/>
    <mergeCell ref="B14:D14"/>
    <mergeCell ref="G24:I24"/>
    <mergeCell ref="Z32:AA32"/>
    <mergeCell ref="F3:G3"/>
    <mergeCell ref="Z33:AA33"/>
    <mergeCell ref="I4:J4"/>
    <mergeCell ref="D28:D29"/>
    <mergeCell ref="E28:E29"/>
    <mergeCell ref="K27:K28"/>
    <mergeCell ref="Q28:T28"/>
  </mergeCells>
  <phoneticPr fontId="1"/>
  <conditionalFormatting sqref="E11:AA16 J21:AA24">
    <cfRule type="expression" dxfId="31" priority="11">
      <formula>COUNTIF(ChordToneEtc,E11)</formula>
    </cfRule>
    <cfRule type="cellIs" dxfId="30" priority="64" operator="equal">
      <formula>RootColorFB</formula>
    </cfRule>
  </conditionalFormatting>
  <conditionalFormatting sqref="F30:I36">
    <cfRule type="cellIs" dxfId="29" priority="66" operator="equal">
      <formula>RootColorCH</formula>
    </cfRule>
  </conditionalFormatting>
  <conditionalFormatting sqref="E11:AA16">
    <cfRule type="expression" dxfId="28" priority="74">
      <formula>COUNTIF(PentaColorFB,E11)</formula>
    </cfRule>
  </conditionalFormatting>
  <conditionalFormatting sqref="J21:AA24">
    <cfRule type="expression" dxfId="27" priority="44">
      <formula>COUNTIF(PentaColorFB,J21)</formula>
    </cfRule>
  </conditionalFormatting>
  <conditionalFormatting sqref="G8:L8">
    <cfRule type="expression" dxfId="26" priority="43">
      <formula>COUNTIF(PentaColorCH,G8)</formula>
    </cfRule>
  </conditionalFormatting>
  <conditionalFormatting sqref="K21:AA24">
    <cfRule type="expression" dxfId="25" priority="39">
      <formula>COUNTIF(UKPmark,K$20)&gt;0</formula>
    </cfRule>
  </conditionalFormatting>
  <conditionalFormatting sqref="K20:U20">
    <cfRule type="expression" dxfId="24" priority="30">
      <formula>COUNTIF($V$30:$AA$30,K$20)=1</formula>
    </cfRule>
  </conditionalFormatting>
  <conditionalFormatting sqref="W20:AA20">
    <cfRule type="expression" dxfId="23" priority="29">
      <formula>COUNTIF($V$30:$AA$30,W$20)=1</formula>
    </cfRule>
  </conditionalFormatting>
  <conditionalFormatting sqref="F7:L7">
    <cfRule type="expression" dxfId="22" priority="28">
      <formula>COUNTIF(ChordTone,F$8)</formula>
    </cfRule>
  </conditionalFormatting>
  <conditionalFormatting sqref="F8:L8">
    <cfRule type="expression" dxfId="21" priority="27">
      <formula>COUNTIF(ChordTone,F$8)</formula>
    </cfRule>
  </conditionalFormatting>
  <conditionalFormatting sqref="I4">
    <cfRule type="expression" dxfId="20" priority="19">
      <formula>grayout01=1</formula>
    </cfRule>
  </conditionalFormatting>
  <conditionalFormatting sqref="L4">
    <cfRule type="expression" dxfId="19" priority="17">
      <formula>PentaON=1</formula>
    </cfRule>
    <cfRule type="expression" dxfId="18" priority="18">
      <formula>grayout02=1</formula>
    </cfRule>
  </conditionalFormatting>
  <conditionalFormatting sqref="D24">
    <cfRule type="expression" dxfId="17" priority="16">
      <formula>ChordON=1</formula>
    </cfRule>
  </conditionalFormatting>
  <conditionalFormatting sqref="I4">
    <cfRule type="expression" dxfId="16" priority="15">
      <formula>Minorshu=1</formula>
    </cfRule>
  </conditionalFormatting>
  <conditionalFormatting sqref="C12:D13 B14:D14 H22:I23 G24:I24">
    <cfRule type="expression" dxfId="15" priority="12">
      <formula>HPFontColor=1</formula>
    </cfRule>
  </conditionalFormatting>
  <conditionalFormatting sqref="Q30:Q35 T30:T33">
    <cfRule type="expression" dxfId="14" priority="126">
      <formula>grayout03=1</formula>
    </cfRule>
  </conditionalFormatting>
  <conditionalFormatting sqref="P29:Q29 S29:T29 S30:S33 P30:P35">
    <cfRule type="expression" dxfId="13" priority="128">
      <formula>grayout03=1</formula>
    </cfRule>
  </conditionalFormatting>
  <conditionalFormatting sqref="Q31">
    <cfRule type="expression" dxfId="12" priority="122">
      <formula>AND(grayout03=0,$Q$31&lt;&gt;RegtunGt2)</formula>
    </cfRule>
  </conditionalFormatting>
  <conditionalFormatting sqref="T30">
    <cfRule type="expression" dxfId="11" priority="123">
      <formula>AND(grayout03=0,$T$30&lt;&gt;RegtunUk1)</formula>
    </cfRule>
  </conditionalFormatting>
  <conditionalFormatting sqref="Q32">
    <cfRule type="expression" dxfId="10" priority="9">
      <formula>AND(grayout03=0,$Q$32&lt;&gt;RegtunGt3)</formula>
    </cfRule>
  </conditionalFormatting>
  <conditionalFormatting sqref="Q30">
    <cfRule type="expression" dxfId="9" priority="8">
      <formula>AND(grayout03=0,$Q$30&lt;&gt;RegtunGt1)</formula>
    </cfRule>
  </conditionalFormatting>
  <conditionalFormatting sqref="Q33">
    <cfRule type="expression" dxfId="8" priority="7">
      <formula>AND(grayout03=0,$Q$33&lt;&gt;RegtunGt4)</formula>
    </cfRule>
  </conditionalFormatting>
  <conditionalFormatting sqref="Q34">
    <cfRule type="expression" dxfId="7" priority="6">
      <formula>AND(grayout03=0,$Q$34&lt;&gt;RegtunGt5)</formula>
    </cfRule>
  </conditionalFormatting>
  <conditionalFormatting sqref="Q35">
    <cfRule type="expression" dxfId="6" priority="5">
      <formula>AND(grayout03=0,$Q$35&lt;&gt;RegtunGt6)</formula>
    </cfRule>
  </conditionalFormatting>
  <conditionalFormatting sqref="T31">
    <cfRule type="expression" dxfId="5" priority="4">
      <formula>AND(grayout03=0,$T$31&lt;&gt;RegtunUk2)</formula>
    </cfRule>
  </conditionalFormatting>
  <conditionalFormatting sqref="T32">
    <cfRule type="expression" dxfId="4" priority="3">
      <formula>AND(grayout03=0,$T$32&lt;&gt;RegtunUk3)</formula>
    </cfRule>
  </conditionalFormatting>
  <conditionalFormatting sqref="T33">
    <cfRule type="expression" dxfId="3" priority="2">
      <formula>AND(grayout03=0,$T$33&lt;&gt;RegtunUk4)</formula>
    </cfRule>
  </conditionalFormatting>
  <conditionalFormatting sqref="D20">
    <cfRule type="expression" dxfId="2" priority="10">
      <formula>grayout04=1</formula>
    </cfRule>
    <cfRule type="expression" dxfId="1" priority="20">
      <formula>grayout03=1</formula>
    </cfRule>
  </conditionalFormatting>
  <conditionalFormatting sqref="R30:R35 U30:U33">
    <cfRule type="expression" dxfId="0" priority="1">
      <formula>grayout03=1</formula>
    </cfRule>
  </conditionalFormatting>
  <dataValidations count="11">
    <dataValidation type="list" allowBlank="1" showInputMessage="1" showErrorMessage="1" sqref="F3">
      <formula1>Key1List</formula1>
    </dataValidation>
    <dataValidation type="list" allowBlank="1" showInputMessage="1" sqref="D20">
      <formula1>CapoList</formula1>
    </dataValidation>
    <dataValidation type="list" allowBlank="1" showInputMessage="1" showErrorMessage="1" sqref="T30:T33 Q30:Q35">
      <formula1>TuningList</formula1>
    </dataValidation>
    <dataValidation type="list" allowBlank="1" showInputMessage="1" showErrorMessage="1" sqref="F4">
      <formula1>Key2List</formula1>
    </dataValidation>
    <dataValidation type="list" allowBlank="1" showInputMessage="1" showErrorMessage="1" sqref="I4">
      <formula1>ScaleList</formula1>
    </dataValidation>
    <dataValidation type="list" allowBlank="1" showInputMessage="1" showErrorMessage="1" sqref="L4">
      <formula1>PentaSW</formula1>
    </dataValidation>
    <dataValidation type="list" allowBlank="1" showInputMessage="1" showErrorMessage="1" sqref="D24">
      <formula1>DegreeNameList2</formula1>
    </dataValidation>
    <dataValidation type="list" allowBlank="1" showInputMessage="1" showErrorMessage="1" sqref="D25">
      <formula1>Triads7th</formula1>
    </dataValidation>
    <dataValidation type="list" allowBlank="1" showInputMessage="1" showErrorMessage="1" sqref="Z35">
      <formula1>Language</formula1>
    </dataValidation>
    <dataValidation type="list" allowBlank="1" showInputMessage="1" showErrorMessage="1" sqref="Z33">
      <formula1>DshmEflm</formula1>
    </dataValidation>
    <dataValidation type="list" allowBlank="1" showInputMessage="1" showErrorMessage="1" sqref="Z32">
      <formula1>FshGfl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106"/>
  <sheetViews>
    <sheetView showGridLines="0" showRowColHeaders="0" zoomScale="90" zoomScaleNormal="90" zoomScaleSheetLayoutView="90" workbookViewId="0"/>
  </sheetViews>
  <sheetFormatPr defaultColWidth="4.625" defaultRowHeight="13.5"/>
  <cols>
    <col min="3" max="3" width="2.625" customWidth="1"/>
    <col min="4" max="4" width="10.625" customWidth="1"/>
    <col min="5" max="5" width="7.625" customWidth="1"/>
    <col min="6" max="17" width="4.5" customWidth="1"/>
    <col min="18" max="18" width="28.125" customWidth="1"/>
    <col min="20" max="20" width="10.625" customWidth="1"/>
    <col min="21" max="21" width="7.625" customWidth="1"/>
    <col min="22" max="33" width="4.5" customWidth="1"/>
    <col min="34" max="34" width="28.125" customWidth="1"/>
    <col min="35" max="35" width="2.625" customWidth="1"/>
    <col min="55" max="55" width="11.875" customWidth="1"/>
  </cols>
  <sheetData>
    <row r="1" spans="1:37" ht="12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12" customHeight="1">
      <c r="A2" s="18"/>
      <c r="B2" s="19"/>
      <c r="C2" s="279" t="s">
        <v>375</v>
      </c>
      <c r="D2" s="279"/>
      <c r="E2" s="279"/>
      <c r="F2" s="279"/>
      <c r="G2" s="27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20" t="s">
        <v>399</v>
      </c>
      <c r="AK2" s="18"/>
    </row>
    <row r="3" spans="1:37">
      <c r="A3" s="18"/>
      <c r="B3" s="21"/>
      <c r="C3" s="279"/>
      <c r="D3" s="279"/>
      <c r="E3" s="279"/>
      <c r="F3" s="279"/>
      <c r="G3" s="279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18"/>
    </row>
    <row r="4" spans="1:37" ht="12" customHeight="1" thickBot="1">
      <c r="A4" s="18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18"/>
    </row>
    <row r="5" spans="1:37" ht="24" customHeight="1">
      <c r="A5" s="18"/>
      <c r="B5" s="21"/>
      <c r="C5" s="22" t="s">
        <v>374</v>
      </c>
      <c r="D5" s="23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5"/>
      <c r="AJ5" s="21"/>
      <c r="AK5" s="18"/>
    </row>
    <row r="6" spans="1:37" ht="14.25" thickBot="1">
      <c r="A6" s="18"/>
      <c r="B6" s="21"/>
      <c r="C6" s="26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8"/>
      <c r="AJ6" s="21"/>
      <c r="AK6" s="18"/>
    </row>
    <row r="7" spans="1:37" ht="24" customHeight="1" thickBot="1">
      <c r="A7" s="18"/>
      <c r="B7" s="21"/>
      <c r="C7" s="26"/>
      <c r="D7" s="29" t="s">
        <v>347</v>
      </c>
      <c r="E7" s="30" t="s">
        <v>346</v>
      </c>
      <c r="F7" s="31" t="s">
        <v>345</v>
      </c>
      <c r="G7" s="32"/>
      <c r="H7" s="33" t="s">
        <v>344</v>
      </c>
      <c r="I7" s="32"/>
      <c r="J7" s="33" t="s">
        <v>370</v>
      </c>
      <c r="K7" s="33" t="s">
        <v>26</v>
      </c>
      <c r="L7" s="32"/>
      <c r="M7" s="33" t="s">
        <v>342</v>
      </c>
      <c r="N7" s="32"/>
      <c r="O7" s="33" t="s">
        <v>369</v>
      </c>
      <c r="P7" s="32"/>
      <c r="Q7" s="34" t="s">
        <v>368</v>
      </c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8"/>
      <c r="AJ7" s="21"/>
      <c r="AK7" s="18"/>
    </row>
    <row r="8" spans="1:37" ht="24" customHeight="1" thickTop="1" thickBot="1">
      <c r="A8" s="18"/>
      <c r="B8" s="21"/>
      <c r="C8" s="26"/>
      <c r="D8" s="35" t="s">
        <v>373</v>
      </c>
      <c r="E8" s="36" t="s">
        <v>16</v>
      </c>
      <c r="F8" s="37" t="s">
        <v>12</v>
      </c>
      <c r="G8" s="38" t="s">
        <v>292</v>
      </c>
      <c r="H8" s="39" t="s">
        <v>207</v>
      </c>
      <c r="I8" s="38" t="s">
        <v>292</v>
      </c>
      <c r="J8" s="39" t="s">
        <v>13</v>
      </c>
      <c r="K8" s="39" t="s">
        <v>208</v>
      </c>
      <c r="L8" s="38" t="s">
        <v>292</v>
      </c>
      <c r="M8" s="39" t="s">
        <v>11</v>
      </c>
      <c r="N8" s="38" t="s">
        <v>292</v>
      </c>
      <c r="O8" s="39" t="s">
        <v>14</v>
      </c>
      <c r="P8" s="38" t="s">
        <v>292</v>
      </c>
      <c r="Q8" s="40" t="s">
        <v>206</v>
      </c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8"/>
      <c r="AJ8" s="21"/>
      <c r="AK8" s="18"/>
    </row>
    <row r="9" spans="1:37" ht="15" customHeight="1" thickBot="1">
      <c r="A9" s="18"/>
      <c r="B9" s="21"/>
      <c r="C9" s="26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8"/>
      <c r="AJ9" s="21"/>
      <c r="AK9" s="18"/>
    </row>
    <row r="10" spans="1:37" ht="24" customHeight="1">
      <c r="A10" s="18"/>
      <c r="B10" s="21"/>
      <c r="C10" s="26"/>
      <c r="D10" s="270" t="s">
        <v>372</v>
      </c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2"/>
      <c r="S10" s="41"/>
      <c r="T10" s="267" t="s">
        <v>371</v>
      </c>
      <c r="U10" s="268"/>
      <c r="V10" s="268"/>
      <c r="W10" s="268"/>
      <c r="X10" s="268"/>
      <c r="Y10" s="268"/>
      <c r="Z10" s="268"/>
      <c r="AA10" s="268"/>
      <c r="AB10" s="268"/>
      <c r="AC10" s="268"/>
      <c r="AD10" s="268"/>
      <c r="AE10" s="268"/>
      <c r="AF10" s="268"/>
      <c r="AG10" s="268"/>
      <c r="AH10" s="269"/>
      <c r="AI10" s="28"/>
      <c r="AJ10" s="21"/>
      <c r="AK10" s="18"/>
    </row>
    <row r="11" spans="1:37" ht="24" customHeight="1" thickBot="1">
      <c r="A11" s="18"/>
      <c r="B11" s="21"/>
      <c r="C11" s="26"/>
      <c r="D11" s="42" t="s">
        <v>347</v>
      </c>
      <c r="E11" s="43" t="s">
        <v>346</v>
      </c>
      <c r="F11" s="44" t="s">
        <v>345</v>
      </c>
      <c r="G11" s="45"/>
      <c r="H11" s="46" t="s">
        <v>344</v>
      </c>
      <c r="I11" s="45"/>
      <c r="J11" s="46" t="s">
        <v>370</v>
      </c>
      <c r="K11" s="46" t="s">
        <v>26</v>
      </c>
      <c r="L11" s="45"/>
      <c r="M11" s="46" t="s">
        <v>342</v>
      </c>
      <c r="N11" s="45"/>
      <c r="O11" s="46" t="s">
        <v>369</v>
      </c>
      <c r="P11" s="45"/>
      <c r="Q11" s="47" t="s">
        <v>368</v>
      </c>
      <c r="R11" s="48" t="s">
        <v>348</v>
      </c>
      <c r="S11" s="41"/>
      <c r="T11" s="42" t="s">
        <v>347</v>
      </c>
      <c r="U11" s="43" t="s">
        <v>346</v>
      </c>
      <c r="V11" s="44" t="s">
        <v>345</v>
      </c>
      <c r="W11" s="45"/>
      <c r="X11" s="46" t="s">
        <v>344</v>
      </c>
      <c r="Y11" s="45"/>
      <c r="Z11" s="46" t="s">
        <v>370</v>
      </c>
      <c r="AA11" s="46" t="s">
        <v>26</v>
      </c>
      <c r="AB11" s="45"/>
      <c r="AC11" s="46" t="s">
        <v>342</v>
      </c>
      <c r="AD11" s="45"/>
      <c r="AE11" s="46" t="s">
        <v>369</v>
      </c>
      <c r="AF11" s="45"/>
      <c r="AG11" s="47" t="s">
        <v>368</v>
      </c>
      <c r="AH11" s="48" t="s">
        <v>340</v>
      </c>
      <c r="AI11" s="28"/>
      <c r="AJ11" s="21"/>
      <c r="AK11" s="18"/>
    </row>
    <row r="12" spans="1:37" ht="24" customHeight="1" thickTop="1">
      <c r="A12" s="18"/>
      <c r="B12" s="21"/>
      <c r="C12" s="26"/>
      <c r="D12" s="49" t="s">
        <v>367</v>
      </c>
      <c r="E12" s="50" t="s">
        <v>338</v>
      </c>
      <c r="F12" s="51" t="s">
        <v>11</v>
      </c>
      <c r="G12" s="52" t="s">
        <v>292</v>
      </c>
      <c r="H12" s="53" t="s">
        <v>14</v>
      </c>
      <c r="I12" s="52" t="s">
        <v>292</v>
      </c>
      <c r="J12" s="53" t="s">
        <v>206</v>
      </c>
      <c r="K12" s="53" t="s">
        <v>12</v>
      </c>
      <c r="L12" s="52" t="s">
        <v>292</v>
      </c>
      <c r="M12" s="53" t="s">
        <v>207</v>
      </c>
      <c r="N12" s="52" t="s">
        <v>292</v>
      </c>
      <c r="O12" s="53" t="s">
        <v>13</v>
      </c>
      <c r="P12" s="52" t="s">
        <v>292</v>
      </c>
      <c r="Q12" s="54" t="s">
        <v>305</v>
      </c>
      <c r="R12" s="55" t="s">
        <v>337</v>
      </c>
      <c r="S12" s="41"/>
      <c r="T12" s="49" t="s">
        <v>366</v>
      </c>
      <c r="U12" s="50" t="s">
        <v>335</v>
      </c>
      <c r="V12" s="51" t="s">
        <v>208</v>
      </c>
      <c r="W12" s="52" t="s">
        <v>292</v>
      </c>
      <c r="X12" s="53" t="s">
        <v>11</v>
      </c>
      <c r="Y12" s="52" t="s">
        <v>292</v>
      </c>
      <c r="Z12" s="53" t="s">
        <v>14</v>
      </c>
      <c r="AA12" s="56" t="s">
        <v>194</v>
      </c>
      <c r="AB12" s="52" t="s">
        <v>292</v>
      </c>
      <c r="AC12" s="53" t="s">
        <v>12</v>
      </c>
      <c r="AD12" s="52" t="s">
        <v>292</v>
      </c>
      <c r="AE12" s="53" t="s">
        <v>207</v>
      </c>
      <c r="AF12" s="52" t="s">
        <v>292</v>
      </c>
      <c r="AG12" s="57" t="s">
        <v>13</v>
      </c>
      <c r="AH12" s="55" t="s">
        <v>334</v>
      </c>
      <c r="AI12" s="28"/>
      <c r="AJ12" s="21"/>
      <c r="AK12" s="18"/>
    </row>
    <row r="13" spans="1:37" ht="24" customHeight="1">
      <c r="A13" s="18"/>
      <c r="B13" s="21"/>
      <c r="C13" s="26"/>
      <c r="D13" s="58" t="s">
        <v>365</v>
      </c>
      <c r="E13" s="59" t="s">
        <v>332</v>
      </c>
      <c r="F13" s="60" t="s">
        <v>207</v>
      </c>
      <c r="G13" s="61" t="s">
        <v>292</v>
      </c>
      <c r="H13" s="62" t="s">
        <v>13</v>
      </c>
      <c r="I13" s="61" t="s">
        <v>292</v>
      </c>
      <c r="J13" s="63" t="s">
        <v>305</v>
      </c>
      <c r="K13" s="62" t="s">
        <v>11</v>
      </c>
      <c r="L13" s="61" t="s">
        <v>292</v>
      </c>
      <c r="M13" s="62" t="s">
        <v>14</v>
      </c>
      <c r="N13" s="61" t="s">
        <v>292</v>
      </c>
      <c r="O13" s="62" t="s">
        <v>206</v>
      </c>
      <c r="P13" s="61" t="s">
        <v>292</v>
      </c>
      <c r="Q13" s="64" t="s">
        <v>302</v>
      </c>
      <c r="R13" s="65" t="s">
        <v>331</v>
      </c>
      <c r="S13" s="41"/>
      <c r="T13" s="58" t="s">
        <v>364</v>
      </c>
      <c r="U13" s="59" t="s">
        <v>329</v>
      </c>
      <c r="V13" s="66" t="s">
        <v>194</v>
      </c>
      <c r="W13" s="61" t="s">
        <v>292</v>
      </c>
      <c r="X13" s="62" t="s">
        <v>12</v>
      </c>
      <c r="Y13" s="61" t="s">
        <v>292</v>
      </c>
      <c r="Z13" s="62" t="s">
        <v>207</v>
      </c>
      <c r="AA13" s="63" t="s">
        <v>297</v>
      </c>
      <c r="AB13" s="61" t="s">
        <v>292</v>
      </c>
      <c r="AC13" s="62" t="s">
        <v>208</v>
      </c>
      <c r="AD13" s="61" t="s">
        <v>292</v>
      </c>
      <c r="AE13" s="62" t="s">
        <v>11</v>
      </c>
      <c r="AF13" s="61" t="s">
        <v>292</v>
      </c>
      <c r="AG13" s="67" t="s">
        <v>14</v>
      </c>
      <c r="AH13" s="65" t="s">
        <v>328</v>
      </c>
      <c r="AI13" s="28"/>
      <c r="AJ13" s="21"/>
      <c r="AK13" s="18"/>
    </row>
    <row r="14" spans="1:37" ht="24" customHeight="1">
      <c r="A14" s="18"/>
      <c r="B14" s="21"/>
      <c r="C14" s="26"/>
      <c r="D14" s="58" t="s">
        <v>363</v>
      </c>
      <c r="E14" s="59" t="s">
        <v>326</v>
      </c>
      <c r="F14" s="60" t="s">
        <v>14</v>
      </c>
      <c r="G14" s="61" t="s">
        <v>292</v>
      </c>
      <c r="H14" s="62" t="s">
        <v>206</v>
      </c>
      <c r="I14" s="61" t="s">
        <v>292</v>
      </c>
      <c r="J14" s="63" t="s">
        <v>302</v>
      </c>
      <c r="K14" s="62" t="s">
        <v>207</v>
      </c>
      <c r="L14" s="61" t="s">
        <v>292</v>
      </c>
      <c r="M14" s="62" t="s">
        <v>13</v>
      </c>
      <c r="N14" s="61" t="s">
        <v>292</v>
      </c>
      <c r="O14" s="63" t="s">
        <v>305</v>
      </c>
      <c r="P14" s="61" t="s">
        <v>292</v>
      </c>
      <c r="Q14" s="64" t="s">
        <v>304</v>
      </c>
      <c r="R14" s="65" t="s">
        <v>325</v>
      </c>
      <c r="S14" s="41"/>
      <c r="T14" s="58" t="s">
        <v>362</v>
      </c>
      <c r="U14" s="59" t="s">
        <v>323</v>
      </c>
      <c r="V14" s="66" t="s">
        <v>297</v>
      </c>
      <c r="W14" s="61" t="s">
        <v>292</v>
      </c>
      <c r="X14" s="62" t="s">
        <v>208</v>
      </c>
      <c r="Y14" s="61" t="s">
        <v>292</v>
      </c>
      <c r="Z14" s="62" t="s">
        <v>11</v>
      </c>
      <c r="AA14" s="63" t="s">
        <v>295</v>
      </c>
      <c r="AB14" s="61" t="s">
        <v>292</v>
      </c>
      <c r="AC14" s="63" t="s">
        <v>194</v>
      </c>
      <c r="AD14" s="61" t="s">
        <v>292</v>
      </c>
      <c r="AE14" s="62" t="s">
        <v>12</v>
      </c>
      <c r="AF14" s="61" t="s">
        <v>292</v>
      </c>
      <c r="AG14" s="67" t="s">
        <v>207</v>
      </c>
      <c r="AH14" s="65" t="s">
        <v>322</v>
      </c>
      <c r="AI14" s="28"/>
      <c r="AJ14" s="21"/>
      <c r="AK14" s="18"/>
    </row>
    <row r="15" spans="1:37" ht="24" customHeight="1">
      <c r="A15" s="18"/>
      <c r="B15" s="21"/>
      <c r="C15" s="26"/>
      <c r="D15" s="58" t="s">
        <v>361</v>
      </c>
      <c r="E15" s="59" t="s">
        <v>320</v>
      </c>
      <c r="F15" s="60" t="s">
        <v>13</v>
      </c>
      <c r="G15" s="61" t="s">
        <v>292</v>
      </c>
      <c r="H15" s="63" t="s">
        <v>305</v>
      </c>
      <c r="I15" s="61" t="s">
        <v>292</v>
      </c>
      <c r="J15" s="63" t="s">
        <v>304</v>
      </c>
      <c r="K15" s="62" t="s">
        <v>14</v>
      </c>
      <c r="L15" s="61" t="s">
        <v>292</v>
      </c>
      <c r="M15" s="62" t="s">
        <v>206</v>
      </c>
      <c r="N15" s="61" t="s">
        <v>292</v>
      </c>
      <c r="O15" s="63" t="s">
        <v>302</v>
      </c>
      <c r="P15" s="61" t="s">
        <v>292</v>
      </c>
      <c r="Q15" s="64" t="s">
        <v>307</v>
      </c>
      <c r="R15" s="65" t="s">
        <v>319</v>
      </c>
      <c r="S15" s="41"/>
      <c r="T15" s="58" t="s">
        <v>360</v>
      </c>
      <c r="U15" s="59" t="s">
        <v>317</v>
      </c>
      <c r="V15" s="66" t="s">
        <v>295</v>
      </c>
      <c r="W15" s="61" t="s">
        <v>292</v>
      </c>
      <c r="X15" s="63" t="s">
        <v>194</v>
      </c>
      <c r="Y15" s="61" t="s">
        <v>292</v>
      </c>
      <c r="Z15" s="62" t="s">
        <v>12</v>
      </c>
      <c r="AA15" s="63" t="s">
        <v>293</v>
      </c>
      <c r="AB15" s="61" t="s">
        <v>292</v>
      </c>
      <c r="AC15" s="63" t="s">
        <v>297</v>
      </c>
      <c r="AD15" s="61" t="s">
        <v>292</v>
      </c>
      <c r="AE15" s="62" t="s">
        <v>208</v>
      </c>
      <c r="AF15" s="61" t="s">
        <v>292</v>
      </c>
      <c r="AG15" s="67" t="s">
        <v>11</v>
      </c>
      <c r="AH15" s="65" t="s">
        <v>316</v>
      </c>
      <c r="AI15" s="28"/>
      <c r="AJ15" s="21"/>
      <c r="AK15" s="18"/>
    </row>
    <row r="16" spans="1:37" ht="24" customHeight="1" thickBot="1">
      <c r="A16" s="18"/>
      <c r="B16" s="21"/>
      <c r="C16" s="26"/>
      <c r="D16" s="58" t="s">
        <v>359</v>
      </c>
      <c r="E16" s="59" t="s">
        <v>314</v>
      </c>
      <c r="F16" s="60" t="s">
        <v>206</v>
      </c>
      <c r="G16" s="61" t="s">
        <v>292</v>
      </c>
      <c r="H16" s="63" t="s">
        <v>302</v>
      </c>
      <c r="I16" s="61" t="s">
        <v>292</v>
      </c>
      <c r="J16" s="63" t="s">
        <v>307</v>
      </c>
      <c r="K16" s="62" t="s">
        <v>13</v>
      </c>
      <c r="L16" s="61" t="s">
        <v>292</v>
      </c>
      <c r="M16" s="63" t="s">
        <v>305</v>
      </c>
      <c r="N16" s="61" t="s">
        <v>292</v>
      </c>
      <c r="O16" s="63" t="s">
        <v>304</v>
      </c>
      <c r="P16" s="61" t="s">
        <v>292</v>
      </c>
      <c r="Q16" s="64" t="s">
        <v>303</v>
      </c>
      <c r="R16" s="65" t="s">
        <v>313</v>
      </c>
      <c r="S16" s="41"/>
      <c r="T16" s="58" t="s">
        <v>358</v>
      </c>
      <c r="U16" s="59" t="s">
        <v>311</v>
      </c>
      <c r="V16" s="66" t="s">
        <v>293</v>
      </c>
      <c r="W16" s="61" t="s">
        <v>292</v>
      </c>
      <c r="X16" s="63" t="s">
        <v>297</v>
      </c>
      <c r="Y16" s="61" t="s">
        <v>292</v>
      </c>
      <c r="Z16" s="62" t="s">
        <v>208</v>
      </c>
      <c r="AA16" s="63" t="s">
        <v>296</v>
      </c>
      <c r="AB16" s="61" t="s">
        <v>292</v>
      </c>
      <c r="AC16" s="63" t="s">
        <v>295</v>
      </c>
      <c r="AD16" s="61" t="s">
        <v>292</v>
      </c>
      <c r="AE16" s="63" t="s">
        <v>194</v>
      </c>
      <c r="AF16" s="61" t="s">
        <v>292</v>
      </c>
      <c r="AG16" s="67" t="s">
        <v>12</v>
      </c>
      <c r="AH16" s="65" t="s">
        <v>310</v>
      </c>
      <c r="AI16" s="28"/>
      <c r="AJ16" s="21"/>
      <c r="AK16" s="18"/>
    </row>
    <row r="17" spans="1:40" ht="13.5" customHeight="1">
      <c r="A17" s="18"/>
      <c r="B17" s="21"/>
      <c r="C17" s="26"/>
      <c r="D17" s="280" t="s">
        <v>357</v>
      </c>
      <c r="E17" s="249" t="s">
        <v>308</v>
      </c>
      <c r="F17" s="259" t="s">
        <v>305</v>
      </c>
      <c r="G17" s="253" t="s">
        <v>292</v>
      </c>
      <c r="H17" s="251" t="s">
        <v>304</v>
      </c>
      <c r="I17" s="253" t="s">
        <v>292</v>
      </c>
      <c r="J17" s="251" t="s">
        <v>303</v>
      </c>
      <c r="K17" s="255" t="s">
        <v>206</v>
      </c>
      <c r="L17" s="253" t="s">
        <v>292</v>
      </c>
      <c r="M17" s="251" t="s">
        <v>302</v>
      </c>
      <c r="N17" s="253" t="s">
        <v>292</v>
      </c>
      <c r="O17" s="251" t="s">
        <v>307</v>
      </c>
      <c r="P17" s="253" t="s">
        <v>292</v>
      </c>
      <c r="Q17" s="68" t="s">
        <v>306</v>
      </c>
      <c r="R17" s="277" t="s">
        <v>301</v>
      </c>
      <c r="S17" s="273" t="s">
        <v>300</v>
      </c>
      <c r="T17" s="257" t="s">
        <v>356</v>
      </c>
      <c r="U17" s="249" t="s">
        <v>298</v>
      </c>
      <c r="V17" s="259" t="s">
        <v>355</v>
      </c>
      <c r="W17" s="253" t="s">
        <v>292</v>
      </c>
      <c r="X17" s="251" t="s">
        <v>34</v>
      </c>
      <c r="Y17" s="253" t="s">
        <v>292</v>
      </c>
      <c r="Z17" s="251" t="s">
        <v>35</v>
      </c>
      <c r="AA17" s="69" t="s">
        <v>294</v>
      </c>
      <c r="AB17" s="253" t="s">
        <v>292</v>
      </c>
      <c r="AC17" s="251" t="s">
        <v>213</v>
      </c>
      <c r="AD17" s="253" t="s">
        <v>292</v>
      </c>
      <c r="AE17" s="251" t="s">
        <v>51</v>
      </c>
      <c r="AF17" s="253" t="s">
        <v>292</v>
      </c>
      <c r="AG17" s="263" t="s">
        <v>3</v>
      </c>
      <c r="AH17" s="261" t="s">
        <v>291</v>
      </c>
      <c r="AI17" s="28"/>
      <c r="AJ17" s="21"/>
      <c r="AK17" s="18"/>
    </row>
    <row r="18" spans="1:40" ht="13.5" customHeight="1" thickBot="1">
      <c r="A18" s="18"/>
      <c r="B18" s="21"/>
      <c r="C18" s="26"/>
      <c r="D18" s="281"/>
      <c r="E18" s="250"/>
      <c r="F18" s="260"/>
      <c r="G18" s="254"/>
      <c r="H18" s="252"/>
      <c r="I18" s="254"/>
      <c r="J18" s="252"/>
      <c r="K18" s="256"/>
      <c r="L18" s="254"/>
      <c r="M18" s="252"/>
      <c r="N18" s="254"/>
      <c r="O18" s="252"/>
      <c r="P18" s="254"/>
      <c r="Q18" s="70" t="s">
        <v>354</v>
      </c>
      <c r="R18" s="278"/>
      <c r="S18" s="274"/>
      <c r="T18" s="258"/>
      <c r="U18" s="250"/>
      <c r="V18" s="260"/>
      <c r="W18" s="254"/>
      <c r="X18" s="252"/>
      <c r="Y18" s="254"/>
      <c r="Z18" s="252"/>
      <c r="AA18" s="71" t="s">
        <v>353</v>
      </c>
      <c r="AB18" s="254"/>
      <c r="AC18" s="252"/>
      <c r="AD18" s="254"/>
      <c r="AE18" s="252"/>
      <c r="AF18" s="254"/>
      <c r="AG18" s="264"/>
      <c r="AH18" s="262"/>
      <c r="AI18" s="28"/>
      <c r="AJ18" s="21"/>
      <c r="AK18" s="18"/>
    </row>
    <row r="19" spans="1:40" ht="12" customHeight="1" thickBot="1">
      <c r="A19" s="18"/>
      <c r="B19" s="21"/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4"/>
      <c r="AJ19" s="21"/>
      <c r="AK19" s="18"/>
    </row>
    <row r="20" spans="1:40" ht="30.75" customHeight="1" thickBot="1">
      <c r="A20" s="18"/>
      <c r="B20" s="21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21"/>
      <c r="AK20" s="18"/>
    </row>
    <row r="21" spans="1:40" ht="24" customHeight="1">
      <c r="A21" s="18"/>
      <c r="B21" s="21"/>
      <c r="C21" s="76" t="s">
        <v>352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8"/>
      <c r="AJ21" s="21"/>
      <c r="AK21" s="18"/>
    </row>
    <row r="22" spans="1:40" ht="14.25" thickBot="1">
      <c r="A22" s="18"/>
      <c r="B22" s="21"/>
      <c r="C22" s="79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80"/>
      <c r="AJ22" s="21"/>
      <c r="AK22" s="18"/>
    </row>
    <row r="23" spans="1:40" ht="24" customHeight="1" thickBot="1">
      <c r="A23" s="18"/>
      <c r="B23" s="21"/>
      <c r="C23" s="79"/>
      <c r="D23" s="29" t="s">
        <v>347</v>
      </c>
      <c r="E23" s="30" t="s">
        <v>346</v>
      </c>
      <c r="F23" s="81" t="s">
        <v>345</v>
      </c>
      <c r="G23" s="32"/>
      <c r="H23" s="33" t="s">
        <v>344</v>
      </c>
      <c r="I23" s="33" t="s">
        <v>343</v>
      </c>
      <c r="J23" s="32"/>
      <c r="K23" s="33" t="s">
        <v>26</v>
      </c>
      <c r="L23" s="32"/>
      <c r="M23" s="33" t="s">
        <v>342</v>
      </c>
      <c r="N23" s="33" t="s">
        <v>341</v>
      </c>
      <c r="O23" s="32"/>
      <c r="P23" s="33" t="s">
        <v>238</v>
      </c>
      <c r="Q23" s="82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80"/>
      <c r="AJ23" s="21"/>
      <c r="AK23" s="18"/>
    </row>
    <row r="24" spans="1:40" ht="24" customHeight="1" thickTop="1" thickBot="1">
      <c r="A24" s="18"/>
      <c r="B24" s="21"/>
      <c r="C24" s="79"/>
      <c r="D24" s="35" t="s">
        <v>351</v>
      </c>
      <c r="E24" s="36" t="s">
        <v>16</v>
      </c>
      <c r="F24" s="83" t="s">
        <v>14</v>
      </c>
      <c r="G24" s="38" t="s">
        <v>292</v>
      </c>
      <c r="H24" s="39" t="s">
        <v>206</v>
      </c>
      <c r="I24" s="39" t="s">
        <v>12</v>
      </c>
      <c r="J24" s="38" t="s">
        <v>292</v>
      </c>
      <c r="K24" s="39" t="s">
        <v>207</v>
      </c>
      <c r="L24" s="38" t="s">
        <v>292</v>
      </c>
      <c r="M24" s="39" t="s">
        <v>13</v>
      </c>
      <c r="N24" s="84" t="s">
        <v>208</v>
      </c>
      <c r="O24" s="38" t="s">
        <v>292</v>
      </c>
      <c r="P24" s="39" t="s">
        <v>11</v>
      </c>
      <c r="Q24" s="85" t="s">
        <v>292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80"/>
      <c r="AJ24" s="21"/>
      <c r="AK24" s="18"/>
    </row>
    <row r="25" spans="1:40" ht="15" customHeight="1" thickBot="1">
      <c r="A25" s="18"/>
      <c r="B25" s="21"/>
      <c r="C25" s="7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80"/>
      <c r="AJ25" s="21"/>
      <c r="AK25" s="18"/>
    </row>
    <row r="26" spans="1:40" ht="24" customHeight="1">
      <c r="A26" s="18"/>
      <c r="B26" s="21"/>
      <c r="C26" s="79"/>
      <c r="D26" s="270" t="s">
        <v>350</v>
      </c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2"/>
      <c r="S26" s="41"/>
      <c r="T26" s="267" t="s">
        <v>349</v>
      </c>
      <c r="U26" s="268"/>
      <c r="V26" s="268"/>
      <c r="W26" s="268"/>
      <c r="X26" s="268"/>
      <c r="Y26" s="268"/>
      <c r="Z26" s="268"/>
      <c r="AA26" s="268"/>
      <c r="AB26" s="268"/>
      <c r="AC26" s="268"/>
      <c r="AD26" s="268"/>
      <c r="AE26" s="268"/>
      <c r="AF26" s="268"/>
      <c r="AG26" s="268"/>
      <c r="AH26" s="269"/>
      <c r="AI26" s="80"/>
      <c r="AJ26" s="21"/>
      <c r="AK26" s="18"/>
    </row>
    <row r="27" spans="1:40" ht="24" customHeight="1" thickBot="1">
      <c r="A27" s="18"/>
      <c r="B27" s="21"/>
      <c r="C27" s="79"/>
      <c r="D27" s="42" t="s">
        <v>347</v>
      </c>
      <c r="E27" s="43" t="s">
        <v>346</v>
      </c>
      <c r="F27" s="44" t="s">
        <v>345</v>
      </c>
      <c r="G27" s="45"/>
      <c r="H27" s="46" t="s">
        <v>344</v>
      </c>
      <c r="I27" s="46" t="s">
        <v>343</v>
      </c>
      <c r="J27" s="45"/>
      <c r="K27" s="46" t="s">
        <v>26</v>
      </c>
      <c r="L27" s="45"/>
      <c r="M27" s="46" t="s">
        <v>342</v>
      </c>
      <c r="N27" s="86" t="s">
        <v>341</v>
      </c>
      <c r="O27" s="45"/>
      <c r="P27" s="46" t="s">
        <v>238</v>
      </c>
      <c r="Q27" s="87"/>
      <c r="R27" s="48" t="s">
        <v>348</v>
      </c>
      <c r="S27" s="41"/>
      <c r="T27" s="42" t="s">
        <v>347</v>
      </c>
      <c r="U27" s="43" t="s">
        <v>346</v>
      </c>
      <c r="V27" s="44" t="s">
        <v>345</v>
      </c>
      <c r="W27" s="45"/>
      <c r="X27" s="46" t="s">
        <v>344</v>
      </c>
      <c r="Y27" s="46" t="s">
        <v>343</v>
      </c>
      <c r="Z27" s="45"/>
      <c r="AA27" s="46" t="s">
        <v>26</v>
      </c>
      <c r="AB27" s="45"/>
      <c r="AC27" s="46" t="s">
        <v>342</v>
      </c>
      <c r="AD27" s="46" t="s">
        <v>341</v>
      </c>
      <c r="AE27" s="45"/>
      <c r="AF27" s="46" t="s">
        <v>238</v>
      </c>
      <c r="AG27" s="87"/>
      <c r="AH27" s="48" t="s">
        <v>340</v>
      </c>
      <c r="AI27" s="80"/>
      <c r="AJ27" s="21"/>
      <c r="AK27" s="18"/>
    </row>
    <row r="28" spans="1:40" ht="24" customHeight="1" thickTop="1">
      <c r="A28" s="18"/>
      <c r="B28" s="21"/>
      <c r="C28" s="79"/>
      <c r="D28" s="49" t="s">
        <v>339</v>
      </c>
      <c r="E28" s="50" t="s">
        <v>338</v>
      </c>
      <c r="F28" s="51" t="s">
        <v>13</v>
      </c>
      <c r="G28" s="52" t="s">
        <v>292</v>
      </c>
      <c r="H28" s="56" t="s">
        <v>305</v>
      </c>
      <c r="I28" s="53" t="s">
        <v>11</v>
      </c>
      <c r="J28" s="52" t="s">
        <v>292</v>
      </c>
      <c r="K28" s="53" t="s">
        <v>14</v>
      </c>
      <c r="L28" s="52" t="s">
        <v>292</v>
      </c>
      <c r="M28" s="53" t="s">
        <v>206</v>
      </c>
      <c r="N28" s="88" t="s">
        <v>12</v>
      </c>
      <c r="O28" s="52" t="s">
        <v>292</v>
      </c>
      <c r="P28" s="53" t="s">
        <v>207</v>
      </c>
      <c r="Q28" s="89" t="s">
        <v>292</v>
      </c>
      <c r="R28" s="55" t="s">
        <v>337</v>
      </c>
      <c r="S28" s="41"/>
      <c r="T28" s="49" t="s">
        <v>336</v>
      </c>
      <c r="U28" s="50" t="s">
        <v>335</v>
      </c>
      <c r="V28" s="51" t="s">
        <v>207</v>
      </c>
      <c r="W28" s="52" t="s">
        <v>292</v>
      </c>
      <c r="X28" s="53" t="s">
        <v>13</v>
      </c>
      <c r="Y28" s="53" t="s">
        <v>208</v>
      </c>
      <c r="Z28" s="52" t="s">
        <v>292</v>
      </c>
      <c r="AA28" s="53" t="s">
        <v>11</v>
      </c>
      <c r="AB28" s="52" t="s">
        <v>292</v>
      </c>
      <c r="AC28" s="88" t="s">
        <v>14</v>
      </c>
      <c r="AD28" s="56" t="s">
        <v>194</v>
      </c>
      <c r="AE28" s="52" t="s">
        <v>292</v>
      </c>
      <c r="AF28" s="53" t="s">
        <v>12</v>
      </c>
      <c r="AG28" s="89" t="s">
        <v>292</v>
      </c>
      <c r="AH28" s="55" t="s">
        <v>334</v>
      </c>
      <c r="AI28" s="80"/>
      <c r="AJ28" s="21"/>
      <c r="AK28" s="18"/>
    </row>
    <row r="29" spans="1:40" ht="24" customHeight="1">
      <c r="A29" s="18"/>
      <c r="B29" s="21"/>
      <c r="C29" s="79"/>
      <c r="D29" s="58" t="s">
        <v>333</v>
      </c>
      <c r="E29" s="59" t="s">
        <v>332</v>
      </c>
      <c r="F29" s="60" t="s">
        <v>206</v>
      </c>
      <c r="G29" s="61" t="s">
        <v>292</v>
      </c>
      <c r="H29" s="63" t="s">
        <v>302</v>
      </c>
      <c r="I29" s="62" t="s">
        <v>207</v>
      </c>
      <c r="J29" s="61" t="s">
        <v>292</v>
      </c>
      <c r="K29" s="62" t="s">
        <v>13</v>
      </c>
      <c r="L29" s="61" t="s">
        <v>292</v>
      </c>
      <c r="M29" s="63" t="s">
        <v>305</v>
      </c>
      <c r="N29" s="90" t="s">
        <v>11</v>
      </c>
      <c r="O29" s="61" t="s">
        <v>292</v>
      </c>
      <c r="P29" s="62" t="s">
        <v>14</v>
      </c>
      <c r="Q29" s="91" t="s">
        <v>292</v>
      </c>
      <c r="R29" s="65" t="s">
        <v>331</v>
      </c>
      <c r="S29" s="41"/>
      <c r="T29" s="58" t="s">
        <v>330</v>
      </c>
      <c r="U29" s="59" t="s">
        <v>329</v>
      </c>
      <c r="V29" s="60" t="s">
        <v>11</v>
      </c>
      <c r="W29" s="61" t="s">
        <v>292</v>
      </c>
      <c r="X29" s="62" t="s">
        <v>14</v>
      </c>
      <c r="Y29" s="63" t="s">
        <v>194</v>
      </c>
      <c r="Z29" s="61" t="s">
        <v>292</v>
      </c>
      <c r="AA29" s="62" t="s">
        <v>12</v>
      </c>
      <c r="AB29" s="61" t="s">
        <v>292</v>
      </c>
      <c r="AC29" s="90" t="s">
        <v>207</v>
      </c>
      <c r="AD29" s="63" t="s">
        <v>297</v>
      </c>
      <c r="AE29" s="61" t="s">
        <v>292</v>
      </c>
      <c r="AF29" s="62" t="s">
        <v>208</v>
      </c>
      <c r="AG29" s="91" t="s">
        <v>292</v>
      </c>
      <c r="AH29" s="65" t="s">
        <v>328</v>
      </c>
      <c r="AI29" s="80"/>
      <c r="AJ29" s="21"/>
      <c r="AK29" s="18"/>
    </row>
    <row r="30" spans="1:40" ht="24" customHeight="1">
      <c r="A30" s="18"/>
      <c r="B30" s="21"/>
      <c r="C30" s="79"/>
      <c r="D30" s="58" t="s">
        <v>327</v>
      </c>
      <c r="E30" s="59" t="s">
        <v>326</v>
      </c>
      <c r="F30" s="66" t="s">
        <v>305</v>
      </c>
      <c r="G30" s="61" t="s">
        <v>292</v>
      </c>
      <c r="H30" s="63" t="s">
        <v>304</v>
      </c>
      <c r="I30" s="62" t="s">
        <v>14</v>
      </c>
      <c r="J30" s="61" t="s">
        <v>292</v>
      </c>
      <c r="K30" s="62" t="s">
        <v>206</v>
      </c>
      <c r="L30" s="61" t="s">
        <v>292</v>
      </c>
      <c r="M30" s="63" t="s">
        <v>302</v>
      </c>
      <c r="N30" s="90" t="s">
        <v>207</v>
      </c>
      <c r="O30" s="61" t="s">
        <v>292</v>
      </c>
      <c r="P30" s="62" t="s">
        <v>13</v>
      </c>
      <c r="Q30" s="91" t="s">
        <v>292</v>
      </c>
      <c r="R30" s="65" t="s">
        <v>325</v>
      </c>
      <c r="S30" s="41"/>
      <c r="T30" s="58" t="s">
        <v>324</v>
      </c>
      <c r="U30" s="59" t="s">
        <v>323</v>
      </c>
      <c r="V30" s="60" t="s">
        <v>12</v>
      </c>
      <c r="W30" s="61" t="s">
        <v>292</v>
      </c>
      <c r="X30" s="62" t="s">
        <v>207</v>
      </c>
      <c r="Y30" s="63" t="s">
        <v>297</v>
      </c>
      <c r="Z30" s="61" t="s">
        <v>292</v>
      </c>
      <c r="AA30" s="62" t="s">
        <v>208</v>
      </c>
      <c r="AB30" s="61" t="s">
        <v>292</v>
      </c>
      <c r="AC30" s="90" t="s">
        <v>11</v>
      </c>
      <c r="AD30" s="63" t="s">
        <v>295</v>
      </c>
      <c r="AE30" s="61" t="s">
        <v>292</v>
      </c>
      <c r="AF30" s="63" t="s">
        <v>194</v>
      </c>
      <c r="AG30" s="91"/>
      <c r="AH30" s="65" t="s">
        <v>322</v>
      </c>
      <c r="AI30" s="80"/>
      <c r="AJ30" s="21"/>
      <c r="AK30" s="18"/>
    </row>
    <row r="31" spans="1:40" ht="24" customHeight="1">
      <c r="A31" s="18"/>
      <c r="B31" s="21"/>
      <c r="C31" s="79"/>
      <c r="D31" s="58" t="s">
        <v>321</v>
      </c>
      <c r="E31" s="59" t="s">
        <v>320</v>
      </c>
      <c r="F31" s="66" t="s">
        <v>302</v>
      </c>
      <c r="G31" s="61" t="s">
        <v>292</v>
      </c>
      <c r="H31" s="63" t="s">
        <v>307</v>
      </c>
      <c r="I31" s="62" t="s">
        <v>13</v>
      </c>
      <c r="J31" s="61" t="s">
        <v>292</v>
      </c>
      <c r="K31" s="63" t="s">
        <v>305</v>
      </c>
      <c r="L31" s="61" t="s">
        <v>292</v>
      </c>
      <c r="M31" s="63" t="s">
        <v>304</v>
      </c>
      <c r="N31" s="90" t="s">
        <v>14</v>
      </c>
      <c r="O31" s="61" t="s">
        <v>292</v>
      </c>
      <c r="P31" s="62" t="s">
        <v>206</v>
      </c>
      <c r="Q31" s="91" t="s">
        <v>292</v>
      </c>
      <c r="R31" s="65" t="s">
        <v>319</v>
      </c>
      <c r="S31" s="41"/>
      <c r="T31" s="58" t="s">
        <v>318</v>
      </c>
      <c r="U31" s="59" t="s">
        <v>317</v>
      </c>
      <c r="V31" s="60" t="s">
        <v>208</v>
      </c>
      <c r="W31" s="61" t="s">
        <v>292</v>
      </c>
      <c r="X31" s="62" t="s">
        <v>11</v>
      </c>
      <c r="Y31" s="63" t="s">
        <v>295</v>
      </c>
      <c r="Z31" s="61" t="s">
        <v>292</v>
      </c>
      <c r="AA31" s="63" t="s">
        <v>194</v>
      </c>
      <c r="AB31" s="61" t="s">
        <v>292</v>
      </c>
      <c r="AC31" s="90" t="s">
        <v>12</v>
      </c>
      <c r="AD31" s="63" t="s">
        <v>293</v>
      </c>
      <c r="AE31" s="61" t="s">
        <v>292</v>
      </c>
      <c r="AF31" s="63" t="s">
        <v>297</v>
      </c>
      <c r="AG31" s="91" t="s">
        <v>292</v>
      </c>
      <c r="AH31" s="65" t="s">
        <v>316</v>
      </c>
      <c r="AI31" s="80"/>
      <c r="AJ31" s="21"/>
      <c r="AK31" s="18"/>
    </row>
    <row r="32" spans="1:40" ht="24" customHeight="1" thickBot="1">
      <c r="A32" s="18"/>
      <c r="B32" s="21"/>
      <c r="C32" s="79"/>
      <c r="D32" s="58" t="s">
        <v>315</v>
      </c>
      <c r="E32" s="59" t="s">
        <v>314</v>
      </c>
      <c r="F32" s="66" t="s">
        <v>304</v>
      </c>
      <c r="G32" s="61" t="s">
        <v>292</v>
      </c>
      <c r="H32" s="63" t="s">
        <v>303</v>
      </c>
      <c r="I32" s="62" t="s">
        <v>206</v>
      </c>
      <c r="J32" s="61" t="s">
        <v>292</v>
      </c>
      <c r="K32" s="63" t="s">
        <v>302</v>
      </c>
      <c r="L32" s="61" t="s">
        <v>292</v>
      </c>
      <c r="M32" s="63" t="s">
        <v>307</v>
      </c>
      <c r="N32" s="90" t="s">
        <v>13</v>
      </c>
      <c r="O32" s="61" t="s">
        <v>292</v>
      </c>
      <c r="P32" s="63" t="s">
        <v>305</v>
      </c>
      <c r="Q32" s="91" t="s">
        <v>292</v>
      </c>
      <c r="R32" s="65" t="s">
        <v>313</v>
      </c>
      <c r="S32" s="41"/>
      <c r="T32" s="58" t="s">
        <v>312</v>
      </c>
      <c r="U32" s="59" t="s">
        <v>311</v>
      </c>
      <c r="V32" s="66" t="s">
        <v>194</v>
      </c>
      <c r="W32" s="61" t="s">
        <v>292</v>
      </c>
      <c r="X32" s="62" t="s">
        <v>12</v>
      </c>
      <c r="Y32" s="63" t="s">
        <v>293</v>
      </c>
      <c r="Z32" s="61" t="s">
        <v>292</v>
      </c>
      <c r="AA32" s="63" t="s">
        <v>297</v>
      </c>
      <c r="AB32" s="61" t="s">
        <v>292</v>
      </c>
      <c r="AC32" s="90" t="s">
        <v>208</v>
      </c>
      <c r="AD32" s="63" t="s">
        <v>296</v>
      </c>
      <c r="AE32" s="61" t="s">
        <v>292</v>
      </c>
      <c r="AF32" s="63" t="s">
        <v>295</v>
      </c>
      <c r="AG32" s="91" t="s">
        <v>292</v>
      </c>
      <c r="AH32" s="65" t="s">
        <v>310</v>
      </c>
      <c r="AI32" s="80"/>
      <c r="AJ32" s="21"/>
      <c r="AK32" s="18"/>
      <c r="AM32" s="17"/>
      <c r="AN32" s="17"/>
    </row>
    <row r="33" spans="1:40" ht="13.5" customHeight="1">
      <c r="A33" s="18"/>
      <c r="B33" s="21"/>
      <c r="C33" s="79"/>
      <c r="D33" s="280" t="s">
        <v>309</v>
      </c>
      <c r="E33" s="249" t="s">
        <v>308</v>
      </c>
      <c r="F33" s="259" t="s">
        <v>307</v>
      </c>
      <c r="G33" s="253" t="s">
        <v>292</v>
      </c>
      <c r="H33" s="69" t="s">
        <v>306</v>
      </c>
      <c r="I33" s="251" t="s">
        <v>305</v>
      </c>
      <c r="J33" s="253" t="s">
        <v>292</v>
      </c>
      <c r="K33" s="251" t="s">
        <v>304</v>
      </c>
      <c r="L33" s="253" t="s">
        <v>292</v>
      </c>
      <c r="M33" s="251" t="s">
        <v>303</v>
      </c>
      <c r="N33" s="275" t="s">
        <v>206</v>
      </c>
      <c r="O33" s="253" t="s">
        <v>292</v>
      </c>
      <c r="P33" s="251" t="s">
        <v>302</v>
      </c>
      <c r="Q33" s="265" t="s">
        <v>292</v>
      </c>
      <c r="R33" s="277" t="s">
        <v>301</v>
      </c>
      <c r="S33" s="273" t="s">
        <v>300</v>
      </c>
      <c r="T33" s="257" t="s">
        <v>299</v>
      </c>
      <c r="U33" s="249" t="s">
        <v>298</v>
      </c>
      <c r="V33" s="259" t="s">
        <v>297</v>
      </c>
      <c r="W33" s="253" t="s">
        <v>292</v>
      </c>
      <c r="X33" s="255" t="s">
        <v>208</v>
      </c>
      <c r="Y33" s="251" t="s">
        <v>296</v>
      </c>
      <c r="Z33" s="253" t="s">
        <v>292</v>
      </c>
      <c r="AA33" s="251" t="s">
        <v>295</v>
      </c>
      <c r="AB33" s="253" t="s">
        <v>292</v>
      </c>
      <c r="AC33" s="251" t="s">
        <v>194</v>
      </c>
      <c r="AD33" s="69" t="s">
        <v>294</v>
      </c>
      <c r="AE33" s="253" t="s">
        <v>292</v>
      </c>
      <c r="AF33" s="251" t="s">
        <v>293</v>
      </c>
      <c r="AG33" s="265" t="s">
        <v>292</v>
      </c>
      <c r="AH33" s="261" t="s">
        <v>291</v>
      </c>
      <c r="AI33" s="80"/>
      <c r="AJ33" s="21"/>
      <c r="AK33" s="18"/>
      <c r="AM33" s="17"/>
      <c r="AN33" s="17"/>
    </row>
    <row r="34" spans="1:40" ht="13.5" customHeight="1" thickBot="1">
      <c r="A34" s="18"/>
      <c r="B34" s="21"/>
      <c r="C34" s="79"/>
      <c r="D34" s="281"/>
      <c r="E34" s="250"/>
      <c r="F34" s="260"/>
      <c r="G34" s="254"/>
      <c r="H34" s="71" t="s">
        <v>290</v>
      </c>
      <c r="I34" s="252"/>
      <c r="J34" s="254"/>
      <c r="K34" s="252"/>
      <c r="L34" s="254"/>
      <c r="M34" s="252"/>
      <c r="N34" s="276"/>
      <c r="O34" s="254"/>
      <c r="P34" s="252"/>
      <c r="Q34" s="266"/>
      <c r="R34" s="278"/>
      <c r="S34" s="274"/>
      <c r="T34" s="258"/>
      <c r="U34" s="250"/>
      <c r="V34" s="260"/>
      <c r="W34" s="254"/>
      <c r="X34" s="256"/>
      <c r="Y34" s="252"/>
      <c r="Z34" s="254"/>
      <c r="AA34" s="252"/>
      <c r="AB34" s="254"/>
      <c r="AC34" s="252"/>
      <c r="AD34" s="71" t="s">
        <v>289</v>
      </c>
      <c r="AE34" s="254"/>
      <c r="AF34" s="252"/>
      <c r="AG34" s="266"/>
      <c r="AH34" s="262"/>
      <c r="AI34" s="80"/>
      <c r="AJ34" s="21"/>
      <c r="AK34" s="18"/>
    </row>
    <row r="35" spans="1:40" ht="12" customHeight="1" thickBot="1">
      <c r="A35" s="18"/>
      <c r="B35" s="21"/>
      <c r="C35" s="92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4"/>
      <c r="AJ35" s="21"/>
      <c r="AK35" s="18"/>
    </row>
    <row r="36" spans="1:40" ht="12" customHeight="1">
      <c r="A36" s="18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18"/>
    </row>
    <row r="37" spans="1:40" ht="12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</row>
    <row r="77" spans="4:4">
      <c r="D77" s="17"/>
    </row>
    <row r="89" spans="38:81"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</row>
    <row r="90" spans="38:81"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</row>
    <row r="91" spans="38:81"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</row>
    <row r="92" spans="38:81"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</row>
    <row r="93" spans="38:81"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</row>
    <row r="94" spans="38:81"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</row>
    <row r="95" spans="38:81"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</row>
    <row r="96" spans="38:81"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</row>
    <row r="97" spans="38:42">
      <c r="AL97" s="17"/>
      <c r="AO97" s="17"/>
    </row>
    <row r="98" spans="38:42">
      <c r="AL98" s="17"/>
      <c r="AO98" s="17"/>
    </row>
    <row r="99" spans="38:42">
      <c r="AL99" s="17"/>
      <c r="AO99" s="17"/>
    </row>
    <row r="100" spans="38:42">
      <c r="AL100" s="17"/>
      <c r="AO100" s="17"/>
    </row>
    <row r="101" spans="38:42">
      <c r="AL101" s="17"/>
    </row>
    <row r="102" spans="38:42">
      <c r="AL102" s="17"/>
    </row>
    <row r="103" spans="38:42">
      <c r="AL103" s="17"/>
    </row>
    <row r="104" spans="38:42">
      <c r="AL104" s="17"/>
    </row>
    <row r="106" spans="38:42">
      <c r="AM106" s="17"/>
      <c r="AO106" s="17"/>
      <c r="AP106" s="17"/>
    </row>
  </sheetData>
  <sheetProtection algorithmName="SHA-512" hashValue="Uh/SwfGTn/n4+gx9YzoqzHnUYZ0DGsMm1PqPBDXZmKxNYw2hT936Sfw+eDvNc2nlIt7lYWy92wEs6CMw1UIedw==" saltValue="9MGFpnVYC24dU7hI5Pzvcg==" spinCount="100000" sheet="1" objects="1" scenarios="1"/>
  <mergeCells count="63">
    <mergeCell ref="G33:G34"/>
    <mergeCell ref="R33:R34"/>
    <mergeCell ref="Q33:Q34"/>
    <mergeCell ref="C2:G3"/>
    <mergeCell ref="F33:F34"/>
    <mergeCell ref="D33:D34"/>
    <mergeCell ref="D10:R10"/>
    <mergeCell ref="J33:J34"/>
    <mergeCell ref="I33:I34"/>
    <mergeCell ref="F17:F18"/>
    <mergeCell ref="J17:J18"/>
    <mergeCell ref="I17:I18"/>
    <mergeCell ref="H17:H18"/>
    <mergeCell ref="G17:G18"/>
    <mergeCell ref="D17:D18"/>
    <mergeCell ref="R17:R18"/>
    <mergeCell ref="T10:AH10"/>
    <mergeCell ref="T26:AH26"/>
    <mergeCell ref="D26:R26"/>
    <mergeCell ref="S33:S34"/>
    <mergeCell ref="S17:S18"/>
    <mergeCell ref="L33:L34"/>
    <mergeCell ref="O33:O34"/>
    <mergeCell ref="N33:N34"/>
    <mergeCell ref="M33:M34"/>
    <mergeCell ref="Y33:Y34"/>
    <mergeCell ref="X33:X34"/>
    <mergeCell ref="W33:W34"/>
    <mergeCell ref="V33:V34"/>
    <mergeCell ref="U33:U34"/>
    <mergeCell ref="T33:T34"/>
    <mergeCell ref="E33:E34"/>
    <mergeCell ref="AH33:AH34"/>
    <mergeCell ref="AG33:AG34"/>
    <mergeCell ref="AF33:AF34"/>
    <mergeCell ref="AE33:AE34"/>
    <mergeCell ref="AC33:AC34"/>
    <mergeCell ref="AB33:AB34"/>
    <mergeCell ref="AA33:AA34"/>
    <mergeCell ref="Z33:Z34"/>
    <mergeCell ref="P33:P34"/>
    <mergeCell ref="K33:K34"/>
    <mergeCell ref="AH17:AH18"/>
    <mergeCell ref="AG17:AG18"/>
    <mergeCell ref="AF17:AF18"/>
    <mergeCell ref="AE17:AE18"/>
    <mergeCell ref="AD17:AD18"/>
    <mergeCell ref="E17:E18"/>
    <mergeCell ref="AC17:AC18"/>
    <mergeCell ref="AB17:AB18"/>
    <mergeCell ref="K17:K18"/>
    <mergeCell ref="P17:P18"/>
    <mergeCell ref="O17:O18"/>
    <mergeCell ref="N17:N18"/>
    <mergeCell ref="M17:M18"/>
    <mergeCell ref="L17:L18"/>
    <mergeCell ref="Z17:Z18"/>
    <mergeCell ref="Y17:Y18"/>
    <mergeCell ref="T17:T18"/>
    <mergeCell ref="U17:U18"/>
    <mergeCell ref="X17:X18"/>
    <mergeCell ref="W17:W18"/>
    <mergeCell ref="V17:V18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66" orientation="landscape" horizontalDpi="4294967293" verticalDpi="0" r:id="rId1"/>
  <colBreaks count="1" manualBreakCount="1">
    <brk id="6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S119"/>
  <sheetViews>
    <sheetView showGridLines="0" showRowColHeaders="0" zoomScaleNormal="100" workbookViewId="0"/>
  </sheetViews>
  <sheetFormatPr defaultRowHeight="13.5"/>
  <cols>
    <col min="1" max="16384" width="9" style="2"/>
  </cols>
  <sheetData>
    <row r="1" spans="1:97">
      <c r="A1" s="6"/>
    </row>
    <row r="2" spans="1:97">
      <c r="B2" s="6"/>
      <c r="CQ2" s="198" t="s">
        <v>110</v>
      </c>
      <c r="CR2" s="198" t="s">
        <v>112</v>
      </c>
      <c r="CS2" s="198" t="s">
        <v>113</v>
      </c>
    </row>
    <row r="3" spans="1:97">
      <c r="C3" s="4"/>
      <c r="D3" s="198"/>
      <c r="E3" s="4"/>
      <c r="G3" s="198" t="s">
        <v>49</v>
      </c>
      <c r="H3" s="4"/>
      <c r="I3" s="4"/>
      <c r="L3" s="4"/>
      <c r="M3" s="4"/>
      <c r="N3" s="4"/>
      <c r="O3" s="4">
        <f>IF(H10=0,2,VLOOKUP(key1No,L5:O17,H10+2,0))</f>
        <v>2</v>
      </c>
      <c r="CQ3" s="198">
        <v>2</v>
      </c>
      <c r="CR3" s="198">
        <v>1</v>
      </c>
      <c r="CS3" s="198"/>
    </row>
    <row r="4" spans="1:97">
      <c r="C4" s="4">
        <v>0</v>
      </c>
      <c r="D4" s="4" t="s">
        <v>16</v>
      </c>
      <c r="E4" s="4">
        <f t="shared" ref="E4:E16" si="0">C4</f>
        <v>0</v>
      </c>
      <c r="G4" s="198" t="str">
        <f>CS26</f>
        <v>Major</v>
      </c>
      <c r="H4" s="4">
        <v>1</v>
      </c>
      <c r="I4" s="4">
        <f>IF(Lang00=2,2,1)</f>
        <v>1</v>
      </c>
      <c r="L4" s="4"/>
      <c r="M4" s="4"/>
      <c r="N4" s="4" t="s">
        <v>47</v>
      </c>
      <c r="O4" s="4" t="s">
        <v>48</v>
      </c>
      <c r="R4" s="196" t="s">
        <v>104</v>
      </c>
      <c r="Z4" s="198" t="s">
        <v>18</v>
      </c>
      <c r="AA4" s="198"/>
      <c r="AF4" s="198" t="s">
        <v>40</v>
      </c>
      <c r="AG4" s="198"/>
      <c r="AN4" s="198" t="s">
        <v>197</v>
      </c>
      <c r="AO4" s="198"/>
      <c r="AQ4" s="198" t="s">
        <v>109</v>
      </c>
      <c r="AR4" s="198"/>
      <c r="CQ4" s="198" t="s">
        <v>114</v>
      </c>
      <c r="CR4" s="198" t="s">
        <v>167</v>
      </c>
      <c r="CS4" s="198" t="str">
        <f>IF(Lang00=2,CQ4,CR4)</f>
        <v>Key :</v>
      </c>
    </row>
    <row r="5" spans="1:97">
      <c r="C5" s="4">
        <v>1</v>
      </c>
      <c r="D5" s="4" t="s">
        <v>0</v>
      </c>
      <c r="E5" s="4">
        <f t="shared" si="0"/>
        <v>1</v>
      </c>
      <c r="G5" s="198" t="str">
        <f>CS27</f>
        <v>minor</v>
      </c>
      <c r="H5" s="4">
        <v>2</v>
      </c>
      <c r="I5" s="4">
        <f>IF(Lang00=2,2,1)</f>
        <v>1</v>
      </c>
      <c r="L5" s="4">
        <v>0</v>
      </c>
      <c r="M5" s="4" t="str">
        <f>VLOOKUP(L5,$C$4:$D$16,2,0)</f>
        <v>-</v>
      </c>
      <c r="N5" s="4">
        <v>2</v>
      </c>
      <c r="O5" s="4">
        <v>1</v>
      </c>
      <c r="R5" s="198" t="s">
        <v>57</v>
      </c>
      <c r="S5" s="198">
        <v>0</v>
      </c>
      <c r="Z5" s="198" t="str">
        <f>CS31</f>
        <v>No Capo</v>
      </c>
      <c r="AA5" s="198">
        <f>IF(Lang00=2,2,1)</f>
        <v>1</v>
      </c>
      <c r="AF5" s="198" t="s">
        <v>16</v>
      </c>
      <c r="AG5" s="198">
        <f t="shared" ref="AG5:AG17" si="1">C4</f>
        <v>0</v>
      </c>
      <c r="AI5" s="198" t="s">
        <v>203</v>
      </c>
      <c r="AJ5" s="198" t="s">
        <v>204</v>
      </c>
      <c r="AL5" s="198">
        <f>'Diatonic Chart'!V30</f>
        <v>5</v>
      </c>
      <c r="AN5" s="198" t="s">
        <v>379</v>
      </c>
      <c r="AO5" s="198">
        <v>2</v>
      </c>
      <c r="AQ5" s="198" t="s">
        <v>111</v>
      </c>
      <c r="AR5" s="198">
        <v>1</v>
      </c>
      <c r="BR5" s="2">
        <v>0</v>
      </c>
      <c r="BS5" s="2">
        <v>1</v>
      </c>
      <c r="BT5" s="2">
        <v>2</v>
      </c>
      <c r="BU5" s="2">
        <v>3</v>
      </c>
      <c r="BV5" s="2">
        <v>4</v>
      </c>
      <c r="BW5" s="2">
        <v>5</v>
      </c>
      <c r="BX5" s="2">
        <v>6</v>
      </c>
      <c r="BY5" s="2">
        <v>7</v>
      </c>
      <c r="BZ5" s="2">
        <v>8</v>
      </c>
      <c r="CA5" s="2">
        <v>9</v>
      </c>
      <c r="CB5" s="2">
        <v>10</v>
      </c>
      <c r="CC5" s="2">
        <v>11</v>
      </c>
      <c r="CD5" s="2">
        <v>12</v>
      </c>
      <c r="CE5" s="2">
        <v>13</v>
      </c>
      <c r="CF5" s="2">
        <v>14</v>
      </c>
      <c r="CG5" s="2">
        <v>15</v>
      </c>
      <c r="CH5" s="2">
        <v>16</v>
      </c>
      <c r="CI5" s="2">
        <v>17</v>
      </c>
      <c r="CJ5" s="2">
        <v>18</v>
      </c>
      <c r="CK5" s="2">
        <v>19</v>
      </c>
      <c r="CL5" s="2">
        <v>20</v>
      </c>
      <c r="CM5" s="2">
        <v>21</v>
      </c>
      <c r="CN5" s="2">
        <v>22</v>
      </c>
      <c r="CQ5" s="198" t="s">
        <v>165</v>
      </c>
      <c r="CR5" s="198" t="s">
        <v>378</v>
      </c>
      <c r="CS5" s="198" t="str">
        <f t="shared" ref="CS5:CS35" si="2">IF(Lang00=2,CQ5,CR5)</f>
        <v>Major/minor :</v>
      </c>
    </row>
    <row r="6" spans="1:97">
      <c r="C6" s="4">
        <v>2</v>
      </c>
      <c r="D6" s="4" t="s">
        <v>187</v>
      </c>
      <c r="E6" s="4">
        <f t="shared" si="0"/>
        <v>2</v>
      </c>
      <c r="G6" s="198" t="str">
        <f>IF(G4=CQ26,CR26,CQ26)</f>
        <v>メジャー</v>
      </c>
      <c r="H6" s="4">
        <f>H4</f>
        <v>1</v>
      </c>
      <c r="I6" s="4">
        <f>IF(Lang00=2,1,2)</f>
        <v>2</v>
      </c>
      <c r="L6" s="4">
        <v>1</v>
      </c>
      <c r="M6" s="4" t="str">
        <f t="shared" ref="M6:M17" si="3">VLOOKUP(L6,$C$4:$D$16,2,0)</f>
        <v>C</v>
      </c>
      <c r="N6" s="4">
        <v>2</v>
      </c>
      <c r="O6" s="4">
        <v>1</v>
      </c>
      <c r="R6" s="198" t="s">
        <v>58</v>
      </c>
      <c r="S6" s="198">
        <v>1</v>
      </c>
      <c r="Z6" s="198">
        <v>1</v>
      </c>
      <c r="AA6" s="198">
        <v>1</v>
      </c>
      <c r="AF6" s="198" t="s">
        <v>0</v>
      </c>
      <c r="AG6" s="198">
        <f t="shared" si="1"/>
        <v>1</v>
      </c>
      <c r="AI6" s="198" t="s">
        <v>198</v>
      </c>
      <c r="AJ6" s="198" t="s">
        <v>191</v>
      </c>
      <c r="AL6" s="198">
        <f>'Diatonic Chart'!W30</f>
        <v>7</v>
      </c>
      <c r="AN6" s="198" t="s">
        <v>380</v>
      </c>
      <c r="AO6" s="198">
        <v>1</v>
      </c>
      <c r="AQ6" s="198" t="s">
        <v>218</v>
      </c>
      <c r="AR6" s="198">
        <v>2</v>
      </c>
      <c r="BR6" s="2">
        <v>0</v>
      </c>
      <c r="BS6" s="2">
        <v>1</v>
      </c>
      <c r="BT6" s="2">
        <v>2</v>
      </c>
      <c r="BU6" s="2">
        <v>3</v>
      </c>
      <c r="BV6" s="2">
        <v>4</v>
      </c>
      <c r="BW6" s="2">
        <v>5</v>
      </c>
      <c r="BX6" s="2">
        <v>6</v>
      </c>
      <c r="BY6" s="2">
        <v>7</v>
      </c>
      <c r="BZ6" s="2">
        <v>8</v>
      </c>
      <c r="CA6" s="2">
        <v>9</v>
      </c>
      <c r="CB6" s="2">
        <v>10</v>
      </c>
      <c r="CC6" s="2">
        <v>11</v>
      </c>
      <c r="CD6" s="2">
        <v>0</v>
      </c>
      <c r="CE6" s="2">
        <v>1</v>
      </c>
      <c r="CF6" s="2">
        <v>2</v>
      </c>
      <c r="CG6" s="2">
        <v>3</v>
      </c>
      <c r="CH6" s="2">
        <v>4</v>
      </c>
      <c r="CI6" s="2">
        <v>5</v>
      </c>
      <c r="CJ6" s="2">
        <v>6</v>
      </c>
      <c r="CK6" s="2">
        <v>7</v>
      </c>
      <c r="CL6" s="2">
        <v>8</v>
      </c>
      <c r="CM6" s="2">
        <v>9</v>
      </c>
      <c r="CN6" s="2">
        <v>10</v>
      </c>
      <c r="CQ6" s="198" t="s">
        <v>166</v>
      </c>
      <c r="CR6" s="198" t="s">
        <v>397</v>
      </c>
      <c r="CS6" s="198" t="str">
        <f t="shared" si="2"/>
        <v>Type of minor Scales :</v>
      </c>
    </row>
    <row r="7" spans="1:97">
      <c r="C7" s="4">
        <v>3</v>
      </c>
      <c r="D7" s="4" t="s">
        <v>1</v>
      </c>
      <c r="E7" s="4">
        <f t="shared" si="0"/>
        <v>3</v>
      </c>
      <c r="G7" s="198" t="str">
        <f>IF(G5=CQ27,CR27,CQ27)</f>
        <v>マイナー</v>
      </c>
      <c r="H7" s="4">
        <f>H5</f>
        <v>2</v>
      </c>
      <c r="I7" s="4">
        <f>IF(Lang00=2,1,2)</f>
        <v>2</v>
      </c>
      <c r="L7" s="4">
        <v>2</v>
      </c>
      <c r="M7" s="4" t="str">
        <f t="shared" si="3"/>
        <v>C♯ or D♭</v>
      </c>
      <c r="N7" s="4">
        <v>1</v>
      </c>
      <c r="O7" s="4">
        <v>2</v>
      </c>
      <c r="R7" s="6"/>
      <c r="S7" s="198">
        <f>IF('Diatonic Chart'!L4="",0,VLOOKUP('Diatonic Chart'!L4,CalculationSheet!$R$5:$S$6,2))</f>
        <v>0</v>
      </c>
      <c r="Z7" s="198">
        <v>2</v>
      </c>
      <c r="AA7" s="198">
        <v>1</v>
      </c>
      <c r="AF7" s="198" t="s">
        <v>41</v>
      </c>
      <c r="AG7" s="198">
        <f t="shared" si="1"/>
        <v>2</v>
      </c>
      <c r="AI7" s="198" t="s">
        <v>199</v>
      </c>
      <c r="AJ7" s="198" t="s">
        <v>198</v>
      </c>
      <c r="AL7" s="198">
        <f>'Diatonic Chart'!X30</f>
        <v>10</v>
      </c>
      <c r="AN7" s="198"/>
      <c r="AO7" s="198" t="str">
        <f>'Diatonic Chart'!Z32</f>
        <v>F♯ Major</v>
      </c>
      <c r="AQ7" s="198"/>
      <c r="AR7" s="198" t="str">
        <f>'Diatonic Chart'!Z35</f>
        <v>English</v>
      </c>
      <c r="BP7" s="201" t="str">
        <f t="shared" ref="BP7:BP12" si="4">BY48</f>
        <v>E</v>
      </c>
      <c r="BQ7" s="2">
        <f t="shared" ref="BQ7:BQ12" si="5">VLOOKUP(BP7,$AF$6:$AG$17,2,0)</f>
        <v>5</v>
      </c>
      <c r="BR7" s="201" t="str">
        <f t="shared" ref="BR7:CA12" si="6">VLOOKUP($BQ7+BR$6,$L$46:$M$68,2,0)</f>
        <v>E</v>
      </c>
      <c r="BS7" s="201" t="str">
        <f t="shared" si="6"/>
        <v>F</v>
      </c>
      <c r="BT7" s="201" t="str">
        <f t="shared" si="6"/>
        <v>F♯</v>
      </c>
      <c r="BU7" s="201" t="str">
        <f t="shared" si="6"/>
        <v>G</v>
      </c>
      <c r="BV7" s="201" t="str">
        <f t="shared" si="6"/>
        <v>G♯</v>
      </c>
      <c r="BW7" s="201" t="str">
        <f t="shared" si="6"/>
        <v>A</v>
      </c>
      <c r="BX7" s="201" t="str">
        <f t="shared" si="6"/>
        <v>A♯</v>
      </c>
      <c r="BY7" s="201" t="str">
        <f t="shared" si="6"/>
        <v>B</v>
      </c>
      <c r="BZ7" s="201" t="str">
        <f t="shared" si="6"/>
        <v>C</v>
      </c>
      <c r="CA7" s="201" t="str">
        <f t="shared" si="6"/>
        <v>C♯</v>
      </c>
      <c r="CB7" s="201" t="str">
        <f t="shared" ref="CB7:CN12" si="7">VLOOKUP($BQ7+CB$6,$L$46:$M$68,2,0)</f>
        <v>D</v>
      </c>
      <c r="CC7" s="201" t="str">
        <f t="shared" si="7"/>
        <v>D♯</v>
      </c>
      <c r="CD7" s="201" t="str">
        <f t="shared" si="7"/>
        <v>E</v>
      </c>
      <c r="CE7" s="201" t="str">
        <f t="shared" si="7"/>
        <v>F</v>
      </c>
      <c r="CF7" s="201" t="str">
        <f t="shared" si="7"/>
        <v>F♯</v>
      </c>
      <c r="CG7" s="201" t="str">
        <f t="shared" si="7"/>
        <v>G</v>
      </c>
      <c r="CH7" s="201" t="str">
        <f t="shared" si="7"/>
        <v>G♯</v>
      </c>
      <c r="CI7" s="201" t="str">
        <f t="shared" si="7"/>
        <v>A</v>
      </c>
      <c r="CJ7" s="201" t="str">
        <f t="shared" si="7"/>
        <v>A♯</v>
      </c>
      <c r="CK7" s="201" t="str">
        <f t="shared" si="7"/>
        <v>B</v>
      </c>
      <c r="CL7" s="201" t="str">
        <f t="shared" si="7"/>
        <v>C</v>
      </c>
      <c r="CM7" s="201" t="str">
        <f t="shared" si="7"/>
        <v>C♯</v>
      </c>
      <c r="CN7" s="201" t="str">
        <f t="shared" si="7"/>
        <v>D</v>
      </c>
      <c r="CQ7" s="198" t="s">
        <v>59</v>
      </c>
      <c r="CR7" s="198" t="s">
        <v>168</v>
      </c>
      <c r="CS7" s="198" t="str">
        <f t="shared" si="2"/>
        <v>Display only Pentatonic Scale</v>
      </c>
    </row>
    <row r="8" spans="1:97">
      <c r="C8" s="4">
        <v>4</v>
      </c>
      <c r="D8" s="4" t="s">
        <v>188</v>
      </c>
      <c r="E8" s="4">
        <f t="shared" si="0"/>
        <v>4</v>
      </c>
      <c r="G8" s="4"/>
      <c r="H8" s="4">
        <v>0</v>
      </c>
      <c r="I8" s="4"/>
      <c r="L8" s="4">
        <v>3</v>
      </c>
      <c r="M8" s="4" t="str">
        <f t="shared" si="3"/>
        <v>D</v>
      </c>
      <c r="N8" s="4">
        <v>2</v>
      </c>
      <c r="O8" s="4">
        <v>1</v>
      </c>
      <c r="U8" s="196" t="s">
        <v>287</v>
      </c>
      <c r="V8" s="4">
        <f>IF(AND(grayout02=0,S7=1),1,0)</f>
        <v>0</v>
      </c>
      <c r="Z8" s="198">
        <v>3</v>
      </c>
      <c r="AA8" s="198">
        <v>1</v>
      </c>
      <c r="AF8" s="198" t="s">
        <v>1</v>
      </c>
      <c r="AG8" s="198">
        <f t="shared" si="1"/>
        <v>3</v>
      </c>
      <c r="AI8" s="198" t="s">
        <v>200</v>
      </c>
      <c r="AJ8" s="198" t="s">
        <v>202</v>
      </c>
      <c r="AL8" s="198">
        <f>'Diatonic Chart'!Y30</f>
        <v>0</v>
      </c>
      <c r="AN8" s="198"/>
      <c r="AO8" s="198">
        <f>IF(OR(AO7="",AO7=0),2,VLOOKUP(AO7,AN5:AO6,2,0))</f>
        <v>2</v>
      </c>
      <c r="AQ8" s="198"/>
      <c r="AR8" s="198">
        <f>IF(OR(AR7="",AR7=0),1,VLOOKUP(AR7,AQ5:AR6,2,0))</f>
        <v>1</v>
      </c>
      <c r="BP8" s="201" t="str">
        <f t="shared" si="4"/>
        <v>B</v>
      </c>
      <c r="BQ8" s="2">
        <f t="shared" si="5"/>
        <v>12</v>
      </c>
      <c r="BR8" s="201" t="str">
        <f t="shared" si="6"/>
        <v>B</v>
      </c>
      <c r="BS8" s="201" t="str">
        <f t="shared" si="6"/>
        <v>C</v>
      </c>
      <c r="BT8" s="201" t="str">
        <f t="shared" si="6"/>
        <v>C♯</v>
      </c>
      <c r="BU8" s="201" t="str">
        <f t="shared" si="6"/>
        <v>D</v>
      </c>
      <c r="BV8" s="201" t="str">
        <f t="shared" si="6"/>
        <v>D♯</v>
      </c>
      <c r="BW8" s="201" t="str">
        <f t="shared" si="6"/>
        <v>E</v>
      </c>
      <c r="BX8" s="201" t="str">
        <f t="shared" si="6"/>
        <v>F</v>
      </c>
      <c r="BY8" s="201" t="str">
        <f t="shared" si="6"/>
        <v>F♯</v>
      </c>
      <c r="BZ8" s="201" t="str">
        <f t="shared" si="6"/>
        <v>G</v>
      </c>
      <c r="CA8" s="201" t="str">
        <f t="shared" si="6"/>
        <v>G♯</v>
      </c>
      <c r="CB8" s="201" t="str">
        <f t="shared" si="7"/>
        <v>A</v>
      </c>
      <c r="CC8" s="201" t="str">
        <f t="shared" si="7"/>
        <v>A♯</v>
      </c>
      <c r="CD8" s="201" t="str">
        <f t="shared" si="7"/>
        <v>B</v>
      </c>
      <c r="CE8" s="201" t="str">
        <f t="shared" si="7"/>
        <v>C</v>
      </c>
      <c r="CF8" s="201" t="str">
        <f t="shared" si="7"/>
        <v>C♯</v>
      </c>
      <c r="CG8" s="201" t="str">
        <f t="shared" si="7"/>
        <v>D</v>
      </c>
      <c r="CH8" s="201" t="str">
        <f t="shared" si="7"/>
        <v>D♯</v>
      </c>
      <c r="CI8" s="201" t="str">
        <f t="shared" si="7"/>
        <v>E</v>
      </c>
      <c r="CJ8" s="201" t="str">
        <f t="shared" si="7"/>
        <v>F</v>
      </c>
      <c r="CK8" s="201" t="str">
        <f t="shared" si="7"/>
        <v>F♯</v>
      </c>
      <c r="CL8" s="201" t="str">
        <f t="shared" si="7"/>
        <v>G</v>
      </c>
      <c r="CM8" s="201" t="str">
        <f t="shared" si="7"/>
        <v>G♯</v>
      </c>
      <c r="CN8" s="201" t="str">
        <f t="shared" si="7"/>
        <v>A</v>
      </c>
      <c r="CQ8" s="198" t="s">
        <v>117</v>
      </c>
      <c r="CR8" s="198" t="s">
        <v>224</v>
      </c>
      <c r="CS8" s="198" t="str">
        <f t="shared" si="2"/>
        <v>*Only when Major key or Natural minor Scale is selected</v>
      </c>
    </row>
    <row r="9" spans="1:97">
      <c r="C9" s="4">
        <v>5</v>
      </c>
      <c r="D9" s="4" t="s">
        <v>2</v>
      </c>
      <c r="E9" s="4">
        <f t="shared" si="0"/>
        <v>5</v>
      </c>
      <c r="G9" s="4"/>
      <c r="H9" s="4" t="str">
        <f>'Diatonic Chart'!F4</f>
        <v>Major</v>
      </c>
      <c r="I9" s="198" t="s">
        <v>220</v>
      </c>
      <c r="L9" s="4">
        <v>4</v>
      </c>
      <c r="M9" s="4" t="str">
        <f t="shared" si="3"/>
        <v>D♯ or E♭</v>
      </c>
      <c r="N9" s="4">
        <v>1</v>
      </c>
      <c r="O9" s="4">
        <f>AO17</f>
        <v>2</v>
      </c>
      <c r="Z9" s="198">
        <v>4</v>
      </c>
      <c r="AA9" s="198">
        <v>1</v>
      </c>
      <c r="AF9" s="198" t="s">
        <v>42</v>
      </c>
      <c r="AG9" s="198">
        <f t="shared" si="1"/>
        <v>4</v>
      </c>
      <c r="AI9" s="198" t="s">
        <v>201</v>
      </c>
      <c r="AJ9" s="198" t="s">
        <v>200</v>
      </c>
      <c r="AL9" s="198">
        <f>'Diatonic Chart'!Z30</f>
        <v>0</v>
      </c>
      <c r="AQ9" s="198"/>
      <c r="AR9" s="198" t="s">
        <v>219</v>
      </c>
      <c r="BP9" s="201" t="str">
        <f t="shared" si="4"/>
        <v>G</v>
      </c>
      <c r="BQ9" s="2">
        <f t="shared" si="5"/>
        <v>8</v>
      </c>
      <c r="BR9" s="201" t="str">
        <f t="shared" si="6"/>
        <v>G</v>
      </c>
      <c r="BS9" s="201" t="str">
        <f t="shared" si="6"/>
        <v>G♯</v>
      </c>
      <c r="BT9" s="201" t="str">
        <f t="shared" si="6"/>
        <v>A</v>
      </c>
      <c r="BU9" s="201" t="str">
        <f t="shared" si="6"/>
        <v>A♯</v>
      </c>
      <c r="BV9" s="201" t="str">
        <f t="shared" si="6"/>
        <v>B</v>
      </c>
      <c r="BW9" s="201" t="str">
        <f t="shared" si="6"/>
        <v>C</v>
      </c>
      <c r="BX9" s="201" t="str">
        <f t="shared" si="6"/>
        <v>C♯</v>
      </c>
      <c r="BY9" s="201" t="str">
        <f t="shared" si="6"/>
        <v>D</v>
      </c>
      <c r="BZ9" s="201" t="str">
        <f t="shared" si="6"/>
        <v>D♯</v>
      </c>
      <c r="CA9" s="201" t="str">
        <f>VLOOKUP($BQ9+CA$6,$L$46:$M$68,2,0)</f>
        <v>E</v>
      </c>
      <c r="CB9" s="201" t="str">
        <f t="shared" si="7"/>
        <v>F</v>
      </c>
      <c r="CC9" s="201" t="str">
        <f t="shared" si="7"/>
        <v>F♯</v>
      </c>
      <c r="CD9" s="201" t="str">
        <f t="shared" si="7"/>
        <v>G</v>
      </c>
      <c r="CE9" s="201" t="str">
        <f t="shared" si="7"/>
        <v>G♯</v>
      </c>
      <c r="CF9" s="201" t="str">
        <f t="shared" si="7"/>
        <v>A</v>
      </c>
      <c r="CG9" s="201" t="str">
        <f t="shared" si="7"/>
        <v>A♯</v>
      </c>
      <c r="CH9" s="201" t="str">
        <f t="shared" si="7"/>
        <v>B</v>
      </c>
      <c r="CI9" s="201" t="str">
        <f t="shared" si="7"/>
        <v>C</v>
      </c>
      <c r="CJ9" s="201" t="str">
        <f t="shared" si="7"/>
        <v>C♯</v>
      </c>
      <c r="CK9" s="201" t="str">
        <f t="shared" si="7"/>
        <v>D</v>
      </c>
      <c r="CL9" s="201" t="str">
        <f t="shared" si="7"/>
        <v>D♯</v>
      </c>
      <c r="CM9" s="201" t="str">
        <f t="shared" si="7"/>
        <v>E</v>
      </c>
      <c r="CN9" s="201" t="str">
        <f t="shared" si="7"/>
        <v>F</v>
      </c>
      <c r="CQ9" s="198" t="s">
        <v>193</v>
      </c>
      <c r="CR9" s="198" t="s">
        <v>192</v>
      </c>
      <c r="CS9" s="198" t="str">
        <f t="shared" si="2"/>
        <v>( Relative Key :</v>
      </c>
    </row>
    <row r="10" spans="1:97">
      <c r="C10" s="4">
        <v>6</v>
      </c>
      <c r="D10" s="4" t="s">
        <v>3</v>
      </c>
      <c r="E10" s="4">
        <f t="shared" si="0"/>
        <v>6</v>
      </c>
      <c r="G10" s="4"/>
      <c r="H10" s="200">
        <f>IF($D$35=0,0,IF(OR(H9=0,H9=""),0,VLOOKUP(H9,G4:H7,2,0)))</f>
        <v>1</v>
      </c>
      <c r="I10" s="4">
        <f>VLOOKUP(H9,G4:I7,3,0)</f>
        <v>1</v>
      </c>
      <c r="L10" s="4">
        <v>5</v>
      </c>
      <c r="M10" s="4" t="str">
        <f t="shared" si="3"/>
        <v>E</v>
      </c>
      <c r="N10" s="4">
        <v>2</v>
      </c>
      <c r="O10" s="4">
        <v>2</v>
      </c>
      <c r="Z10" s="198">
        <v>5</v>
      </c>
      <c r="AA10" s="198">
        <v>1</v>
      </c>
      <c r="AF10" s="198" t="s">
        <v>2</v>
      </c>
      <c r="AG10" s="198">
        <f t="shared" si="1"/>
        <v>5</v>
      </c>
      <c r="AI10" s="198" t="s">
        <v>191</v>
      </c>
      <c r="AL10" s="198">
        <f>'Diatonic Chart'!AA30</f>
        <v>0</v>
      </c>
      <c r="BP10" s="201" t="str">
        <f t="shared" si="4"/>
        <v>D</v>
      </c>
      <c r="BQ10" s="2">
        <f t="shared" si="5"/>
        <v>3</v>
      </c>
      <c r="BR10" s="201" t="str">
        <f t="shared" si="6"/>
        <v>D</v>
      </c>
      <c r="BS10" s="201" t="str">
        <f t="shared" si="6"/>
        <v>D♯</v>
      </c>
      <c r="BT10" s="201" t="str">
        <f t="shared" si="6"/>
        <v>E</v>
      </c>
      <c r="BU10" s="201" t="str">
        <f t="shared" si="6"/>
        <v>F</v>
      </c>
      <c r="BV10" s="201" t="str">
        <f t="shared" si="6"/>
        <v>F♯</v>
      </c>
      <c r="BW10" s="201" t="str">
        <f t="shared" si="6"/>
        <v>G</v>
      </c>
      <c r="BX10" s="201" t="str">
        <f t="shared" si="6"/>
        <v>G♯</v>
      </c>
      <c r="BY10" s="201" t="str">
        <f t="shared" si="6"/>
        <v>A</v>
      </c>
      <c r="BZ10" s="201" t="str">
        <f t="shared" si="6"/>
        <v>A♯</v>
      </c>
      <c r="CA10" s="201" t="str">
        <f t="shared" si="6"/>
        <v>B</v>
      </c>
      <c r="CB10" s="201" t="str">
        <f t="shared" si="7"/>
        <v>C</v>
      </c>
      <c r="CC10" s="201" t="str">
        <f t="shared" si="7"/>
        <v>C♯</v>
      </c>
      <c r="CD10" s="201" t="str">
        <f t="shared" si="7"/>
        <v>D</v>
      </c>
      <c r="CE10" s="201" t="str">
        <f t="shared" si="7"/>
        <v>D♯</v>
      </c>
      <c r="CF10" s="201" t="str">
        <f t="shared" si="7"/>
        <v>E</v>
      </c>
      <c r="CG10" s="201" t="str">
        <f t="shared" si="7"/>
        <v>F</v>
      </c>
      <c r="CH10" s="201" t="str">
        <f t="shared" si="7"/>
        <v>F♯</v>
      </c>
      <c r="CI10" s="201" t="str">
        <f t="shared" si="7"/>
        <v>G</v>
      </c>
      <c r="CJ10" s="201" t="str">
        <f t="shared" si="7"/>
        <v>G♯</v>
      </c>
      <c r="CK10" s="201" t="str">
        <f t="shared" si="7"/>
        <v>A</v>
      </c>
      <c r="CL10" s="201" t="str">
        <f t="shared" si="7"/>
        <v>A♯</v>
      </c>
      <c r="CM10" s="201" t="str">
        <f t="shared" si="7"/>
        <v>B</v>
      </c>
      <c r="CN10" s="201" t="str">
        <f t="shared" si="7"/>
        <v>C</v>
      </c>
      <c r="CQ10" s="198" t="s">
        <v>128</v>
      </c>
      <c r="CR10" s="198" t="s">
        <v>17</v>
      </c>
      <c r="CS10" s="198" t="str">
        <f t="shared" si="2"/>
        <v>Major</v>
      </c>
    </row>
    <row r="11" spans="1:97">
      <c r="C11" s="4">
        <v>7</v>
      </c>
      <c r="D11" s="4" t="s">
        <v>189</v>
      </c>
      <c r="E11" s="4">
        <f t="shared" si="0"/>
        <v>7</v>
      </c>
      <c r="L11" s="4">
        <v>6</v>
      </c>
      <c r="M11" s="4" t="str">
        <f t="shared" si="3"/>
        <v>F</v>
      </c>
      <c r="N11" s="4">
        <v>1</v>
      </c>
      <c r="O11" s="4">
        <v>1</v>
      </c>
      <c r="Z11" s="198">
        <v>6</v>
      </c>
      <c r="AA11" s="198">
        <v>1</v>
      </c>
      <c r="AF11" s="198" t="s">
        <v>3</v>
      </c>
      <c r="AG11" s="198">
        <f t="shared" si="1"/>
        <v>6</v>
      </c>
      <c r="AI11" s="198" t="s">
        <v>198</v>
      </c>
      <c r="BP11" s="201" t="str">
        <f t="shared" si="4"/>
        <v>A</v>
      </c>
      <c r="BQ11" s="2">
        <f t="shared" si="5"/>
        <v>10</v>
      </c>
      <c r="BR11" s="201" t="str">
        <f t="shared" si="6"/>
        <v>A</v>
      </c>
      <c r="BS11" s="201" t="str">
        <f t="shared" si="6"/>
        <v>A♯</v>
      </c>
      <c r="BT11" s="201" t="str">
        <f t="shared" si="6"/>
        <v>B</v>
      </c>
      <c r="BU11" s="201" t="str">
        <f t="shared" si="6"/>
        <v>C</v>
      </c>
      <c r="BV11" s="201" t="str">
        <f t="shared" si="6"/>
        <v>C♯</v>
      </c>
      <c r="BW11" s="201" t="str">
        <f t="shared" si="6"/>
        <v>D</v>
      </c>
      <c r="BX11" s="201" t="str">
        <f t="shared" si="6"/>
        <v>D♯</v>
      </c>
      <c r="BY11" s="201" t="str">
        <f t="shared" si="6"/>
        <v>E</v>
      </c>
      <c r="BZ11" s="201" t="str">
        <f t="shared" si="6"/>
        <v>F</v>
      </c>
      <c r="CA11" s="201" t="str">
        <f t="shared" si="6"/>
        <v>F♯</v>
      </c>
      <c r="CB11" s="201" t="str">
        <f t="shared" si="7"/>
        <v>G</v>
      </c>
      <c r="CC11" s="201" t="str">
        <f t="shared" si="7"/>
        <v>G♯</v>
      </c>
      <c r="CD11" s="201" t="str">
        <f t="shared" si="7"/>
        <v>A</v>
      </c>
      <c r="CE11" s="201" t="str">
        <f t="shared" si="7"/>
        <v>A♯</v>
      </c>
      <c r="CF11" s="201" t="str">
        <f t="shared" si="7"/>
        <v>B</v>
      </c>
      <c r="CG11" s="201" t="str">
        <f t="shared" si="7"/>
        <v>C</v>
      </c>
      <c r="CH11" s="201" t="str">
        <f t="shared" si="7"/>
        <v>C♯</v>
      </c>
      <c r="CI11" s="201" t="str">
        <f t="shared" si="7"/>
        <v>D</v>
      </c>
      <c r="CJ11" s="201" t="str">
        <f t="shared" si="7"/>
        <v>D♯</v>
      </c>
      <c r="CK11" s="201" t="str">
        <f t="shared" si="7"/>
        <v>E</v>
      </c>
      <c r="CL11" s="201" t="str">
        <f t="shared" si="7"/>
        <v>F</v>
      </c>
      <c r="CM11" s="201" t="str">
        <f t="shared" si="7"/>
        <v>F♯</v>
      </c>
      <c r="CN11" s="201" t="str">
        <f t="shared" si="7"/>
        <v>G</v>
      </c>
      <c r="CQ11" s="198" t="s">
        <v>87</v>
      </c>
      <c r="CR11" s="198" t="s">
        <v>210</v>
      </c>
      <c r="CS11" s="198" t="str">
        <f t="shared" si="2"/>
        <v>minor</v>
      </c>
    </row>
    <row r="12" spans="1:97">
      <c r="C12" s="4">
        <v>8</v>
      </c>
      <c r="D12" s="4" t="s">
        <v>4</v>
      </c>
      <c r="E12" s="4">
        <f t="shared" si="0"/>
        <v>8</v>
      </c>
      <c r="L12" s="4">
        <v>7</v>
      </c>
      <c r="M12" s="4" t="str">
        <f t="shared" si="3"/>
        <v>F♯ or G♭</v>
      </c>
      <c r="N12" s="4">
        <f>AO8</f>
        <v>2</v>
      </c>
      <c r="O12" s="4">
        <v>2</v>
      </c>
      <c r="Z12" s="198">
        <v>7</v>
      </c>
      <c r="AA12" s="198">
        <v>1</v>
      </c>
      <c r="AF12" s="198" t="s">
        <v>43</v>
      </c>
      <c r="AG12" s="198">
        <f t="shared" si="1"/>
        <v>7</v>
      </c>
      <c r="AH12" s="4"/>
      <c r="AJ12" s="4"/>
      <c r="BP12" s="201" t="str">
        <f t="shared" si="4"/>
        <v>E</v>
      </c>
      <c r="BQ12" s="2">
        <f t="shared" si="5"/>
        <v>5</v>
      </c>
      <c r="BR12" s="201" t="str">
        <f t="shared" si="6"/>
        <v>E</v>
      </c>
      <c r="BS12" s="201" t="str">
        <f t="shared" si="6"/>
        <v>F</v>
      </c>
      <c r="BT12" s="201" t="str">
        <f t="shared" si="6"/>
        <v>F♯</v>
      </c>
      <c r="BU12" s="201" t="str">
        <f t="shared" si="6"/>
        <v>G</v>
      </c>
      <c r="BV12" s="201" t="str">
        <f t="shared" si="6"/>
        <v>G♯</v>
      </c>
      <c r="BW12" s="201" t="str">
        <f t="shared" si="6"/>
        <v>A</v>
      </c>
      <c r="BX12" s="201" t="str">
        <f t="shared" si="6"/>
        <v>A♯</v>
      </c>
      <c r="BY12" s="201" t="str">
        <f t="shared" si="6"/>
        <v>B</v>
      </c>
      <c r="BZ12" s="201" t="str">
        <f t="shared" si="6"/>
        <v>C</v>
      </c>
      <c r="CA12" s="201" t="str">
        <f t="shared" si="6"/>
        <v>C♯</v>
      </c>
      <c r="CB12" s="201" t="str">
        <f t="shared" si="7"/>
        <v>D</v>
      </c>
      <c r="CC12" s="201" t="str">
        <f t="shared" si="7"/>
        <v>D♯</v>
      </c>
      <c r="CD12" s="201" t="str">
        <f t="shared" si="7"/>
        <v>E</v>
      </c>
      <c r="CE12" s="201" t="str">
        <f t="shared" si="7"/>
        <v>F</v>
      </c>
      <c r="CF12" s="201" t="str">
        <f t="shared" si="7"/>
        <v>F♯</v>
      </c>
      <c r="CG12" s="201" t="str">
        <f t="shared" si="7"/>
        <v>G</v>
      </c>
      <c r="CH12" s="201" t="str">
        <f t="shared" si="7"/>
        <v>G♯</v>
      </c>
      <c r="CI12" s="201" t="str">
        <f t="shared" si="7"/>
        <v>A</v>
      </c>
      <c r="CJ12" s="201" t="str">
        <f t="shared" si="7"/>
        <v>A♯</v>
      </c>
      <c r="CK12" s="201" t="str">
        <f t="shared" si="7"/>
        <v>B</v>
      </c>
      <c r="CL12" s="201" t="str">
        <f t="shared" si="7"/>
        <v>C</v>
      </c>
      <c r="CM12" s="201" t="str">
        <f t="shared" si="7"/>
        <v>C♯</v>
      </c>
      <c r="CN12" s="201" t="str">
        <f t="shared" si="7"/>
        <v>D</v>
      </c>
      <c r="CQ12" s="198"/>
      <c r="CR12" s="198"/>
      <c r="CS12" s="198">
        <f t="shared" si="2"/>
        <v>0</v>
      </c>
    </row>
    <row r="13" spans="1:97">
      <c r="C13" s="4">
        <v>9</v>
      </c>
      <c r="D13" s="4" t="s">
        <v>190</v>
      </c>
      <c r="E13" s="4">
        <f t="shared" si="0"/>
        <v>9</v>
      </c>
      <c r="G13" s="196" t="s">
        <v>46</v>
      </c>
      <c r="L13" s="4">
        <v>8</v>
      </c>
      <c r="M13" s="4" t="str">
        <f t="shared" si="3"/>
        <v>G</v>
      </c>
      <c r="N13" s="4">
        <v>2</v>
      </c>
      <c r="O13" s="4">
        <v>1</v>
      </c>
      <c r="Z13" s="198">
        <v>8</v>
      </c>
      <c r="AA13" s="198">
        <v>1</v>
      </c>
      <c r="AF13" s="198" t="s">
        <v>4</v>
      </c>
      <c r="AG13" s="198">
        <f t="shared" si="1"/>
        <v>8</v>
      </c>
      <c r="AH13" s="4"/>
      <c r="AI13" s="4"/>
      <c r="AJ13" s="4"/>
      <c r="AN13" s="198" t="s">
        <v>196</v>
      </c>
      <c r="AO13" s="198"/>
      <c r="CQ13" s="198" t="s">
        <v>69</v>
      </c>
      <c r="CR13" s="198" t="s">
        <v>217</v>
      </c>
      <c r="CS13" s="198" t="str">
        <f t="shared" si="2"/>
        <v>Display only chord tones</v>
      </c>
    </row>
    <row r="14" spans="1:97">
      <c r="C14" s="4">
        <v>10</v>
      </c>
      <c r="D14" s="4" t="s">
        <v>5</v>
      </c>
      <c r="E14" s="4">
        <f t="shared" si="0"/>
        <v>10</v>
      </c>
      <c r="G14" s="198" t="str">
        <f>CS28</f>
        <v>Natural minor</v>
      </c>
      <c r="H14" s="198">
        <v>2</v>
      </c>
      <c r="I14" s="4">
        <f>IF(Lang00=2,2,1)</f>
        <v>1</v>
      </c>
      <c r="L14" s="4">
        <v>9</v>
      </c>
      <c r="M14" s="4" t="str">
        <f t="shared" si="3"/>
        <v>G♯ or A♭</v>
      </c>
      <c r="N14" s="4">
        <v>1</v>
      </c>
      <c r="O14" s="4">
        <v>2</v>
      </c>
      <c r="T14" s="200">
        <f>IF(OR(T21=1,W21=1),1,0)</f>
        <v>0</v>
      </c>
      <c r="Z14" s="198">
        <v>9</v>
      </c>
      <c r="AA14" s="198">
        <v>1</v>
      </c>
      <c r="AF14" s="198" t="s">
        <v>44</v>
      </c>
      <c r="AG14" s="198">
        <f t="shared" si="1"/>
        <v>9</v>
      </c>
      <c r="AH14" s="4"/>
      <c r="AI14" s="4"/>
      <c r="AJ14" s="4"/>
      <c r="AN14" s="198" t="s">
        <v>299</v>
      </c>
      <c r="AO14" s="198">
        <v>1</v>
      </c>
      <c r="BR14" s="201">
        <f t="shared" ref="BR14:CN14" si="8">IF($BX48=0,0,IF(key1No=0,1,COUNTIF($D$47:$J$47,BR7)))</f>
        <v>1</v>
      </c>
      <c r="BS14" s="201">
        <f t="shared" si="8"/>
        <v>1</v>
      </c>
      <c r="BT14" s="201">
        <f t="shared" si="8"/>
        <v>0</v>
      </c>
      <c r="BU14" s="201">
        <f t="shared" si="8"/>
        <v>1</v>
      </c>
      <c r="BV14" s="201">
        <f t="shared" si="8"/>
        <v>0</v>
      </c>
      <c r="BW14" s="201">
        <f t="shared" si="8"/>
        <v>1</v>
      </c>
      <c r="BX14" s="201">
        <f t="shared" si="8"/>
        <v>0</v>
      </c>
      <c r="BY14" s="201">
        <f t="shared" si="8"/>
        <v>1</v>
      </c>
      <c r="BZ14" s="201">
        <f t="shared" si="8"/>
        <v>1</v>
      </c>
      <c r="CA14" s="201">
        <f t="shared" si="8"/>
        <v>0</v>
      </c>
      <c r="CB14" s="201">
        <f t="shared" si="8"/>
        <v>1</v>
      </c>
      <c r="CC14" s="201">
        <f t="shared" si="8"/>
        <v>0</v>
      </c>
      <c r="CD14" s="201">
        <f t="shared" si="8"/>
        <v>1</v>
      </c>
      <c r="CE14" s="201">
        <f t="shared" si="8"/>
        <v>1</v>
      </c>
      <c r="CF14" s="201">
        <f t="shared" si="8"/>
        <v>0</v>
      </c>
      <c r="CG14" s="201">
        <f t="shared" si="8"/>
        <v>1</v>
      </c>
      <c r="CH14" s="201">
        <f t="shared" si="8"/>
        <v>0</v>
      </c>
      <c r="CI14" s="201">
        <f t="shared" si="8"/>
        <v>1</v>
      </c>
      <c r="CJ14" s="201">
        <f t="shared" si="8"/>
        <v>0</v>
      </c>
      <c r="CK14" s="201">
        <f t="shared" si="8"/>
        <v>1</v>
      </c>
      <c r="CL14" s="201">
        <f t="shared" si="8"/>
        <v>1</v>
      </c>
      <c r="CM14" s="201">
        <f t="shared" si="8"/>
        <v>0</v>
      </c>
      <c r="CN14" s="201">
        <f t="shared" si="8"/>
        <v>1</v>
      </c>
      <c r="CQ14" s="198" t="s">
        <v>136</v>
      </c>
      <c r="CR14" s="198" t="s">
        <v>134</v>
      </c>
      <c r="CS14" s="198" t="str">
        <f t="shared" si="2"/>
        <v>Degree:</v>
      </c>
    </row>
    <row r="15" spans="1:97">
      <c r="C15" s="4">
        <v>11</v>
      </c>
      <c r="D15" s="4" t="s">
        <v>195</v>
      </c>
      <c r="E15" s="4">
        <f t="shared" si="0"/>
        <v>11</v>
      </c>
      <c r="G15" s="198" t="str">
        <f>CS29</f>
        <v>Harmonic minor</v>
      </c>
      <c r="H15" s="198">
        <v>3</v>
      </c>
      <c r="I15" s="4">
        <f>IF(Lang00=2,2,1)</f>
        <v>1</v>
      </c>
      <c r="L15" s="4">
        <v>10</v>
      </c>
      <c r="M15" s="4" t="str">
        <f t="shared" si="3"/>
        <v>A</v>
      </c>
      <c r="N15" s="4">
        <v>2</v>
      </c>
      <c r="O15" s="4">
        <v>2</v>
      </c>
      <c r="T15" s="196" t="s">
        <v>283</v>
      </c>
      <c r="Z15" s="198">
        <v>10</v>
      </c>
      <c r="AA15" s="198">
        <v>1</v>
      </c>
      <c r="AF15" s="198" t="s">
        <v>5</v>
      </c>
      <c r="AG15" s="198">
        <f t="shared" si="1"/>
        <v>10</v>
      </c>
      <c r="AN15" s="198" t="s">
        <v>309</v>
      </c>
      <c r="AO15" s="198">
        <v>2</v>
      </c>
      <c r="BR15" s="201">
        <f t="shared" ref="BR15:CN15" si="9">IF($BX49=0,0,IF(key1No=0,1,COUNTIF($D$47:$J$47,BR8)))</f>
        <v>1</v>
      </c>
      <c r="BS15" s="201">
        <f t="shared" si="9"/>
        <v>1</v>
      </c>
      <c r="BT15" s="201">
        <f t="shared" si="9"/>
        <v>0</v>
      </c>
      <c r="BU15" s="201">
        <f t="shared" si="9"/>
        <v>1</v>
      </c>
      <c r="BV15" s="201">
        <f t="shared" si="9"/>
        <v>0</v>
      </c>
      <c r="BW15" s="201">
        <f t="shared" si="9"/>
        <v>1</v>
      </c>
      <c r="BX15" s="201">
        <f t="shared" si="9"/>
        <v>1</v>
      </c>
      <c r="BY15" s="201">
        <f t="shared" si="9"/>
        <v>0</v>
      </c>
      <c r="BZ15" s="201">
        <f t="shared" si="9"/>
        <v>1</v>
      </c>
      <c r="CA15" s="201">
        <f t="shared" si="9"/>
        <v>0</v>
      </c>
      <c r="CB15" s="201">
        <f t="shared" si="9"/>
        <v>1</v>
      </c>
      <c r="CC15" s="201">
        <f t="shared" si="9"/>
        <v>0</v>
      </c>
      <c r="CD15" s="201">
        <f t="shared" si="9"/>
        <v>1</v>
      </c>
      <c r="CE15" s="201">
        <f t="shared" si="9"/>
        <v>1</v>
      </c>
      <c r="CF15" s="201">
        <f t="shared" si="9"/>
        <v>0</v>
      </c>
      <c r="CG15" s="201">
        <f t="shared" si="9"/>
        <v>1</v>
      </c>
      <c r="CH15" s="201">
        <f t="shared" si="9"/>
        <v>0</v>
      </c>
      <c r="CI15" s="201">
        <f t="shared" si="9"/>
        <v>1</v>
      </c>
      <c r="CJ15" s="201">
        <f t="shared" si="9"/>
        <v>1</v>
      </c>
      <c r="CK15" s="201">
        <f t="shared" si="9"/>
        <v>0</v>
      </c>
      <c r="CL15" s="201">
        <f t="shared" si="9"/>
        <v>1</v>
      </c>
      <c r="CM15" s="201">
        <f t="shared" si="9"/>
        <v>0</v>
      </c>
      <c r="CN15" s="201">
        <f t="shared" si="9"/>
        <v>1</v>
      </c>
      <c r="CQ15" s="198" t="s">
        <v>137</v>
      </c>
      <c r="CR15" s="198" t="s">
        <v>135</v>
      </c>
      <c r="CS15" s="198" t="str">
        <f t="shared" si="2"/>
        <v>Triad/7th:</v>
      </c>
    </row>
    <row r="16" spans="1:97">
      <c r="C16" s="4">
        <v>12</v>
      </c>
      <c r="D16" s="4" t="s">
        <v>6</v>
      </c>
      <c r="E16" s="4">
        <f t="shared" si="0"/>
        <v>12</v>
      </c>
      <c r="G16" s="198" t="str">
        <f>CS30</f>
        <v>Melodic minor</v>
      </c>
      <c r="H16" s="198">
        <v>4</v>
      </c>
      <c r="I16" s="4">
        <f>IF(Lang00=2,2,1)</f>
        <v>1</v>
      </c>
      <c r="L16" s="4">
        <v>11</v>
      </c>
      <c r="M16" s="4" t="str">
        <f t="shared" si="3"/>
        <v>B♭</v>
      </c>
      <c r="N16" s="4">
        <v>1</v>
      </c>
      <c r="O16" s="4">
        <v>1</v>
      </c>
      <c r="Z16" s="198">
        <v>11</v>
      </c>
      <c r="AA16" s="198">
        <v>1</v>
      </c>
      <c r="AF16" s="198" t="s">
        <v>45</v>
      </c>
      <c r="AG16" s="198">
        <f t="shared" si="1"/>
        <v>11</v>
      </c>
      <c r="AN16" s="198"/>
      <c r="AO16" s="198" t="str">
        <f>'Diatonic Chart'!Z33</f>
        <v>D♯ minor</v>
      </c>
      <c r="BR16" s="201">
        <f t="shared" ref="BR16:CN16" si="10">IF($BX50=0,0,IF(key1No=0,1,COUNTIF($D$47:$J$47,BR9)))</f>
        <v>1</v>
      </c>
      <c r="BS16" s="201">
        <f t="shared" si="10"/>
        <v>0</v>
      </c>
      <c r="BT16" s="201">
        <f t="shared" si="10"/>
        <v>1</v>
      </c>
      <c r="BU16" s="201">
        <f t="shared" si="10"/>
        <v>0</v>
      </c>
      <c r="BV16" s="201">
        <f t="shared" si="10"/>
        <v>1</v>
      </c>
      <c r="BW16" s="201">
        <f t="shared" si="10"/>
        <v>1</v>
      </c>
      <c r="BX16" s="201">
        <f t="shared" si="10"/>
        <v>0</v>
      </c>
      <c r="BY16" s="201">
        <f t="shared" si="10"/>
        <v>1</v>
      </c>
      <c r="BZ16" s="201">
        <f t="shared" si="10"/>
        <v>0</v>
      </c>
      <c r="CA16" s="201">
        <f t="shared" si="10"/>
        <v>1</v>
      </c>
      <c r="CB16" s="201">
        <f t="shared" si="10"/>
        <v>1</v>
      </c>
      <c r="CC16" s="201">
        <f t="shared" si="10"/>
        <v>0</v>
      </c>
      <c r="CD16" s="201">
        <f t="shared" si="10"/>
        <v>1</v>
      </c>
      <c r="CE16" s="201">
        <f t="shared" si="10"/>
        <v>0</v>
      </c>
      <c r="CF16" s="201">
        <f t="shared" si="10"/>
        <v>1</v>
      </c>
      <c r="CG16" s="201">
        <f t="shared" si="10"/>
        <v>0</v>
      </c>
      <c r="CH16" s="201">
        <f t="shared" si="10"/>
        <v>1</v>
      </c>
      <c r="CI16" s="201">
        <f t="shared" si="10"/>
        <v>1</v>
      </c>
      <c r="CJ16" s="201">
        <f t="shared" si="10"/>
        <v>0</v>
      </c>
      <c r="CK16" s="201">
        <f t="shared" si="10"/>
        <v>1</v>
      </c>
      <c r="CL16" s="201">
        <f t="shared" si="10"/>
        <v>0</v>
      </c>
      <c r="CM16" s="201">
        <f t="shared" si="10"/>
        <v>1</v>
      </c>
      <c r="CN16" s="201">
        <f t="shared" si="10"/>
        <v>1</v>
      </c>
      <c r="CQ16" s="198" t="s">
        <v>124</v>
      </c>
      <c r="CR16" s="198" t="s">
        <v>123</v>
      </c>
      <c r="CS16" s="198" t="str">
        <f t="shared" si="2"/>
        <v>Capo:</v>
      </c>
    </row>
    <row r="17" spans="3:97">
      <c r="C17" s="4"/>
      <c r="D17" s="200" t="str">
        <f>IF('Diatonic Chart'!F3="",D4,'Diatonic Chart'!F3)</f>
        <v>C</v>
      </c>
      <c r="E17" s="4"/>
      <c r="G17" s="198" t="str">
        <f>IF(G14=CQ28,CR28,CQ28)</f>
        <v>ナチュラルマイナー</v>
      </c>
      <c r="H17" s="198">
        <f>H14</f>
        <v>2</v>
      </c>
      <c r="I17" s="4">
        <f>IF(Lang00=2,1,2)</f>
        <v>2</v>
      </c>
      <c r="L17" s="4">
        <v>12</v>
      </c>
      <c r="M17" s="4" t="str">
        <f t="shared" si="3"/>
        <v>B</v>
      </c>
      <c r="N17" s="4">
        <v>2</v>
      </c>
      <c r="O17" s="4">
        <v>2</v>
      </c>
      <c r="Z17" s="198" t="str">
        <f>IF(Z5=CQ31,CR31,CQ31)</f>
        <v>カポなし</v>
      </c>
      <c r="AA17" s="198">
        <f>IF(Lang00=2,1,2)</f>
        <v>2</v>
      </c>
      <c r="AF17" s="198" t="s">
        <v>6</v>
      </c>
      <c r="AG17" s="198">
        <f t="shared" si="1"/>
        <v>12</v>
      </c>
      <c r="AN17" s="198"/>
      <c r="AO17" s="198">
        <f>IF(OR(AO16="",AO16=0),1,VLOOKUP(AO16,AN14:AO15,2,0))</f>
        <v>2</v>
      </c>
      <c r="BR17" s="201">
        <f t="shared" ref="BR17:CN17" si="11">IF($BX51=0,0,IF(key1No=0,1,COUNTIF($D$47:$J$47,BR10)))</f>
        <v>1</v>
      </c>
      <c r="BS17" s="201">
        <f t="shared" si="11"/>
        <v>0</v>
      </c>
      <c r="BT17" s="201">
        <f t="shared" si="11"/>
        <v>1</v>
      </c>
      <c r="BU17" s="201">
        <f t="shared" si="11"/>
        <v>1</v>
      </c>
      <c r="BV17" s="201">
        <f t="shared" si="11"/>
        <v>0</v>
      </c>
      <c r="BW17" s="201">
        <f t="shared" si="11"/>
        <v>1</v>
      </c>
      <c r="BX17" s="201">
        <f t="shared" si="11"/>
        <v>0</v>
      </c>
      <c r="BY17" s="201">
        <f t="shared" si="11"/>
        <v>1</v>
      </c>
      <c r="BZ17" s="201">
        <f t="shared" si="11"/>
        <v>0</v>
      </c>
      <c r="CA17" s="201">
        <f t="shared" si="11"/>
        <v>1</v>
      </c>
      <c r="CB17" s="201">
        <f t="shared" si="11"/>
        <v>1</v>
      </c>
      <c r="CC17" s="201">
        <f t="shared" si="11"/>
        <v>0</v>
      </c>
      <c r="CD17" s="201">
        <f t="shared" si="11"/>
        <v>1</v>
      </c>
      <c r="CE17" s="201">
        <f t="shared" si="11"/>
        <v>0</v>
      </c>
      <c r="CF17" s="201">
        <f t="shared" si="11"/>
        <v>1</v>
      </c>
      <c r="CG17" s="201">
        <f t="shared" si="11"/>
        <v>1</v>
      </c>
      <c r="CH17" s="201">
        <f t="shared" si="11"/>
        <v>0</v>
      </c>
      <c r="CI17" s="201">
        <f t="shared" si="11"/>
        <v>1</v>
      </c>
      <c r="CJ17" s="201">
        <f t="shared" si="11"/>
        <v>0</v>
      </c>
      <c r="CK17" s="201">
        <f t="shared" si="11"/>
        <v>1</v>
      </c>
      <c r="CL17" s="201">
        <f t="shared" si="11"/>
        <v>0</v>
      </c>
      <c r="CM17" s="201">
        <f t="shared" si="11"/>
        <v>1</v>
      </c>
      <c r="CN17" s="201">
        <f t="shared" si="11"/>
        <v>1</v>
      </c>
      <c r="CQ17" s="198"/>
      <c r="CR17" s="198"/>
      <c r="CS17" s="198">
        <f t="shared" si="2"/>
        <v>0</v>
      </c>
    </row>
    <row r="18" spans="3:97">
      <c r="C18" s="201" t="s">
        <v>50</v>
      </c>
      <c r="D18" s="200">
        <f>VLOOKUP(D17,$D$4:$E$16,2,0)</f>
        <v>1</v>
      </c>
      <c r="E18" s="4"/>
      <c r="G18" s="198" t="str">
        <f>IF(G15=CQ29,CR29,CQ29)</f>
        <v>ハーモニックマイナー</v>
      </c>
      <c r="H18" s="198">
        <f>H15</f>
        <v>3</v>
      </c>
      <c r="I18" s="4">
        <f>IF(Lang00=2,1,2)</f>
        <v>2</v>
      </c>
      <c r="Z18" s="198"/>
      <c r="AA18" s="198" t="str">
        <f>'Diatonic Chart'!D20</f>
        <v>No Capo</v>
      </c>
      <c r="BR18" s="201">
        <f t="shared" ref="BR18:CN18" si="12">IF($BX52=0,0,IF(key1No=0,1,COUNTIF($D$47:$J$47,BR11)))</f>
        <v>1</v>
      </c>
      <c r="BS18" s="201">
        <f t="shared" si="12"/>
        <v>0</v>
      </c>
      <c r="BT18" s="201">
        <f t="shared" si="12"/>
        <v>1</v>
      </c>
      <c r="BU18" s="201">
        <f t="shared" si="12"/>
        <v>1</v>
      </c>
      <c r="BV18" s="201">
        <f t="shared" si="12"/>
        <v>0</v>
      </c>
      <c r="BW18" s="201">
        <f t="shared" si="12"/>
        <v>1</v>
      </c>
      <c r="BX18" s="201">
        <f t="shared" si="12"/>
        <v>0</v>
      </c>
      <c r="BY18" s="201">
        <f t="shared" si="12"/>
        <v>1</v>
      </c>
      <c r="BZ18" s="201">
        <f t="shared" si="12"/>
        <v>1</v>
      </c>
      <c r="CA18" s="201">
        <f t="shared" si="12"/>
        <v>0</v>
      </c>
      <c r="CB18" s="201">
        <f t="shared" si="12"/>
        <v>1</v>
      </c>
      <c r="CC18" s="201">
        <f t="shared" si="12"/>
        <v>0</v>
      </c>
      <c r="CD18" s="201">
        <f t="shared" si="12"/>
        <v>1</v>
      </c>
      <c r="CE18" s="201">
        <f t="shared" si="12"/>
        <v>0</v>
      </c>
      <c r="CF18" s="201">
        <f t="shared" si="12"/>
        <v>1</v>
      </c>
      <c r="CG18" s="201">
        <f t="shared" si="12"/>
        <v>1</v>
      </c>
      <c r="CH18" s="201">
        <f t="shared" si="12"/>
        <v>0</v>
      </c>
      <c r="CI18" s="201">
        <f t="shared" si="12"/>
        <v>1</v>
      </c>
      <c r="CJ18" s="201">
        <f t="shared" si="12"/>
        <v>0</v>
      </c>
      <c r="CK18" s="201">
        <f t="shared" si="12"/>
        <v>1</v>
      </c>
      <c r="CL18" s="201">
        <f t="shared" si="12"/>
        <v>1</v>
      </c>
      <c r="CM18" s="201">
        <f t="shared" si="12"/>
        <v>0</v>
      </c>
      <c r="CN18" s="201">
        <f t="shared" si="12"/>
        <v>1</v>
      </c>
      <c r="CQ18" s="198" t="s">
        <v>163</v>
      </c>
      <c r="CR18" s="198" t="s">
        <v>164</v>
      </c>
      <c r="CS18" s="198" t="str">
        <f t="shared" si="2"/>
        <v>Degree Name</v>
      </c>
    </row>
    <row r="19" spans="3:97">
      <c r="G19" s="198" t="str">
        <f>IF(G16=CQ30,CR30,CQ30)</f>
        <v>メロディックマイナー</v>
      </c>
      <c r="H19" s="198">
        <f>H16</f>
        <v>4</v>
      </c>
      <c r="I19" s="4">
        <f>IF(Lang00=2,1,2)</f>
        <v>2</v>
      </c>
      <c r="Z19" s="204" t="s">
        <v>222</v>
      </c>
      <c r="AA19" s="198">
        <f>IF(COUNTIF(Z5:Z17,AA18)&gt;0,VLOOKUP(AA18,Z5:AA17,2,0),0)</f>
        <v>1</v>
      </c>
      <c r="BR19" s="201">
        <f t="shared" ref="BR19:CN19" si="13">IF($BX53=0,0,IF(key1No=0,1,COUNTIF($D$47:$J$47,BR12)))</f>
        <v>1</v>
      </c>
      <c r="BS19" s="201">
        <f t="shared" si="13"/>
        <v>1</v>
      </c>
      <c r="BT19" s="201">
        <f t="shared" si="13"/>
        <v>0</v>
      </c>
      <c r="BU19" s="201">
        <f t="shared" si="13"/>
        <v>1</v>
      </c>
      <c r="BV19" s="201">
        <f t="shared" si="13"/>
        <v>0</v>
      </c>
      <c r="BW19" s="201">
        <f t="shared" si="13"/>
        <v>1</v>
      </c>
      <c r="BX19" s="201">
        <f t="shared" si="13"/>
        <v>0</v>
      </c>
      <c r="BY19" s="201">
        <f t="shared" si="13"/>
        <v>1</v>
      </c>
      <c r="BZ19" s="201">
        <f t="shared" si="13"/>
        <v>1</v>
      </c>
      <c r="CA19" s="201">
        <f t="shared" si="13"/>
        <v>0</v>
      </c>
      <c r="CB19" s="201">
        <f t="shared" si="13"/>
        <v>1</v>
      </c>
      <c r="CC19" s="201">
        <f t="shared" si="13"/>
        <v>0</v>
      </c>
      <c r="CD19" s="201">
        <f t="shared" si="13"/>
        <v>1</v>
      </c>
      <c r="CE19" s="201">
        <f t="shared" si="13"/>
        <v>1</v>
      </c>
      <c r="CF19" s="201">
        <f t="shared" si="13"/>
        <v>0</v>
      </c>
      <c r="CG19" s="201">
        <f t="shared" si="13"/>
        <v>1</v>
      </c>
      <c r="CH19" s="201">
        <f t="shared" si="13"/>
        <v>0</v>
      </c>
      <c r="CI19" s="201">
        <f t="shared" si="13"/>
        <v>1</v>
      </c>
      <c r="CJ19" s="201">
        <f t="shared" si="13"/>
        <v>0</v>
      </c>
      <c r="CK19" s="201">
        <f t="shared" si="13"/>
        <v>1</v>
      </c>
      <c r="CL19" s="201">
        <f t="shared" si="13"/>
        <v>1</v>
      </c>
      <c r="CM19" s="201">
        <f t="shared" si="13"/>
        <v>0</v>
      </c>
      <c r="CN19" s="201">
        <f t="shared" si="13"/>
        <v>1</v>
      </c>
      <c r="CQ19" s="198" t="s">
        <v>125</v>
      </c>
      <c r="CR19" s="198" t="s">
        <v>132</v>
      </c>
      <c r="CS19" s="198" t="str">
        <f t="shared" si="2"/>
        <v>Triad Chord</v>
      </c>
    </row>
    <row r="20" spans="3:97">
      <c r="G20" s="4"/>
      <c r="H20" s="4" t="str">
        <f>'Diatonic Chart'!I4</f>
        <v>Natural minor</v>
      </c>
      <c r="I20" s="198" t="s">
        <v>221</v>
      </c>
      <c r="CQ20" s="198" t="s">
        <v>127</v>
      </c>
      <c r="CR20" s="198" t="s">
        <v>133</v>
      </c>
      <c r="CS20" s="198" t="str">
        <f t="shared" si="2"/>
        <v>7th Chord</v>
      </c>
    </row>
    <row r="21" spans="3:97">
      <c r="G21" s="4"/>
      <c r="H21" s="4">
        <f>IF(OR(H20=0,H20=""),0,VLOOKUP(H20,G14:H19,2,0))</f>
        <v>2</v>
      </c>
      <c r="I21" s="4">
        <f>VLOOKUP(H20,G14:I19,3,0)</f>
        <v>1</v>
      </c>
      <c r="O21" s="4">
        <f>IF(H10=0,0,H10)</f>
        <v>1</v>
      </c>
      <c r="T21" s="198">
        <f>IF(OR(H23=0,H23=3,H23=4),1,0)</f>
        <v>0</v>
      </c>
      <c r="W21" s="198">
        <f>IF(AND(AJ41&gt;=1,AJ41&lt;=7),1,0)</f>
        <v>0</v>
      </c>
      <c r="CQ21" s="198" t="s">
        <v>186</v>
      </c>
      <c r="CR21" s="198" t="s">
        <v>129</v>
      </c>
      <c r="CS21" s="198" t="str">
        <f t="shared" si="2"/>
        <v>Function</v>
      </c>
    </row>
    <row r="22" spans="3:97">
      <c r="L22" s="4"/>
      <c r="M22" s="4"/>
      <c r="N22" s="4" t="str">
        <f>CS11</f>
        <v>minor</v>
      </c>
      <c r="O22" s="4" t="str">
        <f>CS10</f>
        <v>Major</v>
      </c>
      <c r="P22" s="4" t="str">
        <f>IF(O21=0,"--- )",VLOOKUP(key1No,L23:P35,5,0)&amp;" )")</f>
        <v>A minor )</v>
      </c>
      <c r="CQ22" s="198" t="s">
        <v>263</v>
      </c>
      <c r="CR22" s="198" t="s">
        <v>264</v>
      </c>
      <c r="CS22" s="198" t="str">
        <f t="shared" si="2"/>
        <v xml:space="preserve">Tuner </v>
      </c>
    </row>
    <row r="23" spans="3:97">
      <c r="F23" s="4"/>
      <c r="G23" s="4"/>
      <c r="H23" s="200">
        <f>IF($D$35=0,0,IF(H10=0,0,IF(H10=1,1,IF(OR(H20=G14,H20=G17),H14,IF(OR(H20=G15,H20=G18),H15,IF(OR(H20=G16,H20=G19),H16,IF(AND(OR(H20=0,H20=""),H10=2),2,0)))))))</f>
        <v>1</v>
      </c>
      <c r="L23" s="4">
        <v>0</v>
      </c>
      <c r="M23" s="4" t="str">
        <f t="shared" ref="M23:M35" si="14">VLOOKUP(L23,$C$4:$D$16,2,0)</f>
        <v>-</v>
      </c>
      <c r="N23" s="4"/>
      <c r="O23" s="4"/>
      <c r="P23" s="199" t="s">
        <v>216</v>
      </c>
      <c r="AH23" s="198">
        <v>1</v>
      </c>
      <c r="AI23" s="198">
        <v>2</v>
      </c>
      <c r="AJ23" s="198">
        <v>3</v>
      </c>
      <c r="AK23" s="198">
        <v>4</v>
      </c>
      <c r="AL23" s="198">
        <v>5</v>
      </c>
      <c r="AM23" s="198">
        <v>6</v>
      </c>
      <c r="AN23" s="198">
        <v>7</v>
      </c>
      <c r="AO23" s="198">
        <v>8</v>
      </c>
      <c r="AP23" s="198">
        <v>9</v>
      </c>
      <c r="AQ23" s="198">
        <v>10</v>
      </c>
      <c r="AR23" s="198">
        <v>11</v>
      </c>
      <c r="AS23" s="198">
        <v>12</v>
      </c>
      <c r="AT23" s="198">
        <v>13</v>
      </c>
      <c r="BR23" s="2">
        <v>0</v>
      </c>
      <c r="BS23" s="2">
        <v>1</v>
      </c>
      <c r="BT23" s="2">
        <v>2</v>
      </c>
      <c r="BU23" s="2">
        <v>3</v>
      </c>
      <c r="BV23" s="2">
        <v>4</v>
      </c>
      <c r="BW23" s="2">
        <v>5</v>
      </c>
      <c r="BX23" s="2">
        <v>6</v>
      </c>
      <c r="BY23" s="2">
        <v>7</v>
      </c>
      <c r="BZ23" s="2">
        <v>8</v>
      </c>
      <c r="CA23" s="2">
        <v>9</v>
      </c>
      <c r="CB23" s="2">
        <v>10</v>
      </c>
      <c r="CC23" s="2">
        <v>11</v>
      </c>
      <c r="CD23" s="2">
        <v>12</v>
      </c>
      <c r="CE23" s="2">
        <v>13</v>
      </c>
      <c r="CF23" s="2">
        <v>14</v>
      </c>
      <c r="CG23" s="2">
        <v>15</v>
      </c>
      <c r="CH23" s="2">
        <v>16</v>
      </c>
      <c r="CI23" s="2">
        <v>17</v>
      </c>
      <c r="CQ23" s="198" t="s">
        <v>118</v>
      </c>
      <c r="CR23" s="198" t="s">
        <v>416</v>
      </c>
      <c r="CS23" s="198" t="str">
        <f t="shared" si="2"/>
        <v>※( ) is Standard tuning</v>
      </c>
    </row>
    <row r="24" spans="3:97">
      <c r="L24" s="4">
        <v>1</v>
      </c>
      <c r="M24" s="4" t="str">
        <f t="shared" si="14"/>
        <v>C</v>
      </c>
      <c r="N24" s="4" t="s">
        <v>14</v>
      </c>
      <c r="O24" s="4" t="s">
        <v>211</v>
      </c>
      <c r="P24" s="4" t="str">
        <f>IF($O$21=2,O24&amp;" "&amp;$O$22,N24&amp;" "&amp;$N$22)</f>
        <v>A minor</v>
      </c>
      <c r="AH24" s="198" t="str">
        <f t="shared" ref="AH24:AN24" si="15">D55</f>
        <v>C</v>
      </c>
      <c r="AI24" s="198" t="str">
        <f t="shared" si="15"/>
        <v>D</v>
      </c>
      <c r="AJ24" s="198" t="str">
        <f t="shared" si="15"/>
        <v>E</v>
      </c>
      <c r="AK24" s="198" t="str">
        <f t="shared" si="15"/>
        <v>F</v>
      </c>
      <c r="AL24" s="198" t="str">
        <f t="shared" si="15"/>
        <v>G</v>
      </c>
      <c r="AM24" s="198" t="str">
        <f t="shared" si="15"/>
        <v>A</v>
      </c>
      <c r="AN24" s="198" t="str">
        <f t="shared" si="15"/>
        <v>B</v>
      </c>
      <c r="AO24" s="198" t="str">
        <f>AH24</f>
        <v>C</v>
      </c>
      <c r="AP24" s="198" t="str">
        <f t="shared" ref="AP24:AT24" si="16">AI24</f>
        <v>D</v>
      </c>
      <c r="AQ24" s="198" t="str">
        <f t="shared" si="16"/>
        <v>E</v>
      </c>
      <c r="AR24" s="198" t="str">
        <f t="shared" si="16"/>
        <v>F</v>
      </c>
      <c r="AS24" s="198" t="str">
        <f t="shared" si="16"/>
        <v>G</v>
      </c>
      <c r="AT24" s="198" t="str">
        <f t="shared" si="16"/>
        <v>A</v>
      </c>
      <c r="BR24" s="2">
        <v>0</v>
      </c>
      <c r="BS24" s="2">
        <v>1</v>
      </c>
      <c r="BT24" s="2">
        <v>2</v>
      </c>
      <c r="BU24" s="2">
        <v>3</v>
      </c>
      <c r="BV24" s="2">
        <v>4</v>
      </c>
      <c r="BW24" s="2">
        <v>5</v>
      </c>
      <c r="BX24" s="2">
        <v>6</v>
      </c>
      <c r="BY24" s="2">
        <v>7</v>
      </c>
      <c r="BZ24" s="2">
        <v>8</v>
      </c>
      <c r="CA24" s="2">
        <v>9</v>
      </c>
      <c r="CB24" s="2">
        <v>10</v>
      </c>
      <c r="CC24" s="2">
        <v>11</v>
      </c>
      <c r="CD24" s="2">
        <v>0</v>
      </c>
      <c r="CE24" s="2">
        <v>1</v>
      </c>
      <c r="CF24" s="2">
        <v>2</v>
      </c>
      <c r="CG24" s="2">
        <v>3</v>
      </c>
      <c r="CH24" s="2">
        <v>4</v>
      </c>
      <c r="CI24" s="2">
        <v>5</v>
      </c>
      <c r="CQ24" s="198" t="s">
        <v>15</v>
      </c>
      <c r="CR24" s="198" t="s">
        <v>398</v>
      </c>
      <c r="CS24" s="198" t="str">
        <f t="shared" si="2"/>
        <v>Ukulele Position Marks</v>
      </c>
    </row>
    <row r="25" spans="3:97">
      <c r="F25" s="4"/>
      <c r="G25" s="4"/>
      <c r="L25" s="4">
        <v>2</v>
      </c>
      <c r="M25" s="4" t="str">
        <f t="shared" si="14"/>
        <v>C♯ or D♭</v>
      </c>
      <c r="N25" s="4" t="s">
        <v>194</v>
      </c>
      <c r="O25" s="4" t="s">
        <v>13</v>
      </c>
      <c r="P25" s="4" t="str">
        <f t="shared" ref="P25:P35" si="17">IF($O$21=2,O25&amp;" "&amp;$O$22,N25&amp;" "&amp;$N$22)</f>
        <v>B♭ minor</v>
      </c>
      <c r="BP25" s="201" t="str">
        <f>BY54</f>
        <v>A</v>
      </c>
      <c r="BQ25" s="2">
        <f>VLOOKUP(BP25,$AF$6:$AG$17,2,0)</f>
        <v>10</v>
      </c>
      <c r="BR25" s="201" t="str">
        <f t="shared" ref="BR25:CA28" si="18">VLOOKUP($BQ25+BR$24,$L$46:$M$68,2,0)</f>
        <v>A</v>
      </c>
      <c r="BS25" s="201" t="str">
        <f t="shared" si="18"/>
        <v>A♯</v>
      </c>
      <c r="BT25" s="201" t="str">
        <f t="shared" si="18"/>
        <v>B</v>
      </c>
      <c r="BU25" s="201" t="str">
        <f t="shared" si="18"/>
        <v>C</v>
      </c>
      <c r="BV25" s="201" t="str">
        <f t="shared" si="18"/>
        <v>C♯</v>
      </c>
      <c r="BW25" s="201" t="str">
        <f t="shared" si="18"/>
        <v>D</v>
      </c>
      <c r="BX25" s="201" t="str">
        <f t="shared" si="18"/>
        <v>D♯</v>
      </c>
      <c r="BY25" s="201" t="str">
        <f t="shared" si="18"/>
        <v>E</v>
      </c>
      <c r="BZ25" s="201" t="str">
        <f t="shared" si="18"/>
        <v>F</v>
      </c>
      <c r="CA25" s="201" t="str">
        <f t="shared" si="18"/>
        <v>F♯</v>
      </c>
      <c r="CB25" s="201" t="str">
        <f t="shared" ref="CB25:CI28" si="19">VLOOKUP($BQ25+CB$24,$L$46:$M$68,2,0)</f>
        <v>G</v>
      </c>
      <c r="CC25" s="201" t="str">
        <f t="shared" si="19"/>
        <v>G♯</v>
      </c>
      <c r="CD25" s="201" t="str">
        <f t="shared" si="19"/>
        <v>A</v>
      </c>
      <c r="CE25" s="201" t="str">
        <f t="shared" si="19"/>
        <v>A♯</v>
      </c>
      <c r="CF25" s="201" t="str">
        <f t="shared" si="19"/>
        <v>B</v>
      </c>
      <c r="CG25" s="201" t="str">
        <f t="shared" si="19"/>
        <v>C</v>
      </c>
      <c r="CH25" s="201" t="str">
        <f t="shared" si="19"/>
        <v>C♯</v>
      </c>
      <c r="CI25" s="201" t="str">
        <f t="shared" si="19"/>
        <v>D</v>
      </c>
      <c r="CQ25" s="198"/>
      <c r="CR25" s="198"/>
      <c r="CS25" s="198">
        <f t="shared" si="2"/>
        <v>0</v>
      </c>
    </row>
    <row r="26" spans="3:97">
      <c r="G26" s="4"/>
      <c r="L26" s="4">
        <v>3</v>
      </c>
      <c r="M26" s="4" t="str">
        <f t="shared" si="14"/>
        <v>D</v>
      </c>
      <c r="N26" s="4" t="s">
        <v>206</v>
      </c>
      <c r="O26" s="4" t="s">
        <v>208</v>
      </c>
      <c r="P26" s="4" t="str">
        <f t="shared" si="17"/>
        <v>B minor</v>
      </c>
      <c r="AA26" s="198">
        <v>-5</v>
      </c>
      <c r="AU26" s="198" t="s">
        <v>82</v>
      </c>
      <c r="AV26" s="198"/>
      <c r="AW26" s="198"/>
      <c r="AX26" s="198"/>
      <c r="AY26" s="198" t="s">
        <v>67</v>
      </c>
      <c r="AZ26" s="198"/>
      <c r="BA26" s="198"/>
      <c r="BB26" s="198"/>
      <c r="BC26" s="198" t="s">
        <v>89</v>
      </c>
      <c r="BD26" s="198"/>
      <c r="BE26" s="198"/>
      <c r="BF26" s="198"/>
      <c r="BP26" s="201" t="str">
        <f>BY55</f>
        <v>E</v>
      </c>
      <c r="BQ26" s="2">
        <f>VLOOKUP(BP26,$AF$6:$AG$17,2,0)</f>
        <v>5</v>
      </c>
      <c r="BR26" s="201" t="str">
        <f t="shared" si="18"/>
        <v>E</v>
      </c>
      <c r="BS26" s="201" t="str">
        <f t="shared" si="18"/>
        <v>F</v>
      </c>
      <c r="BT26" s="201" t="str">
        <f t="shared" si="18"/>
        <v>F♯</v>
      </c>
      <c r="BU26" s="201" t="str">
        <f t="shared" si="18"/>
        <v>G</v>
      </c>
      <c r="BV26" s="201" t="str">
        <f t="shared" si="18"/>
        <v>G♯</v>
      </c>
      <c r="BW26" s="201" t="str">
        <f t="shared" si="18"/>
        <v>A</v>
      </c>
      <c r="BX26" s="201" t="str">
        <f t="shared" si="18"/>
        <v>A♯</v>
      </c>
      <c r="BY26" s="201" t="str">
        <f t="shared" si="18"/>
        <v>B</v>
      </c>
      <c r="BZ26" s="201" t="str">
        <f t="shared" si="18"/>
        <v>C</v>
      </c>
      <c r="CA26" s="201" t="str">
        <f t="shared" si="18"/>
        <v>C♯</v>
      </c>
      <c r="CB26" s="201" t="str">
        <f t="shared" si="19"/>
        <v>D</v>
      </c>
      <c r="CC26" s="201" t="str">
        <f t="shared" si="19"/>
        <v>D♯</v>
      </c>
      <c r="CD26" s="201" t="str">
        <f t="shared" si="19"/>
        <v>E</v>
      </c>
      <c r="CE26" s="201" t="str">
        <f t="shared" si="19"/>
        <v>F</v>
      </c>
      <c r="CF26" s="201" t="str">
        <f t="shared" si="19"/>
        <v>F♯</v>
      </c>
      <c r="CG26" s="201" t="str">
        <f t="shared" si="19"/>
        <v>G</v>
      </c>
      <c r="CH26" s="201" t="str">
        <f t="shared" si="19"/>
        <v>G♯</v>
      </c>
      <c r="CI26" s="201" t="str">
        <f t="shared" si="19"/>
        <v>A</v>
      </c>
      <c r="CQ26" s="198" t="s">
        <v>128</v>
      </c>
      <c r="CR26" s="198" t="s">
        <v>142</v>
      </c>
      <c r="CS26" s="198" t="str">
        <f t="shared" si="2"/>
        <v>Major</v>
      </c>
    </row>
    <row r="27" spans="3:97">
      <c r="G27" s="4"/>
      <c r="L27" s="4">
        <v>4</v>
      </c>
      <c r="M27" s="4" t="str">
        <f t="shared" si="14"/>
        <v>D♯ or E♭</v>
      </c>
      <c r="N27" s="4" t="s">
        <v>12</v>
      </c>
      <c r="O27" s="4" t="str">
        <f>IF(AO8=1,"G♭","F♯")</f>
        <v>F♯</v>
      </c>
      <c r="P27" s="4" t="str">
        <f t="shared" si="17"/>
        <v>C minor</v>
      </c>
      <c r="AF27" s="198"/>
      <c r="AG27" s="198"/>
      <c r="AH27" s="198"/>
      <c r="AI27" s="198"/>
      <c r="AJ27" s="198"/>
      <c r="AK27" s="198"/>
      <c r="AM27" s="198"/>
      <c r="AN27" s="198"/>
      <c r="AO27" s="198"/>
      <c r="AP27" s="198">
        <f>H23</f>
        <v>1</v>
      </c>
      <c r="AQ27" s="198"/>
      <c r="AR27" s="198">
        <f>AW53</f>
        <v>1</v>
      </c>
      <c r="AS27" s="198"/>
      <c r="AU27" s="198" t="s">
        <v>63</v>
      </c>
      <c r="AV27" s="198" t="s">
        <v>64</v>
      </c>
      <c r="AW27" s="198" t="s">
        <v>65</v>
      </c>
      <c r="AX27" s="198" t="s">
        <v>66</v>
      </c>
      <c r="AY27" s="198" t="s">
        <v>63</v>
      </c>
      <c r="AZ27" s="198" t="s">
        <v>64</v>
      </c>
      <c r="BA27" s="198" t="s">
        <v>65</v>
      </c>
      <c r="BB27" s="198" t="s">
        <v>66</v>
      </c>
      <c r="BC27" s="198" t="s">
        <v>63</v>
      </c>
      <c r="BD27" s="198" t="s">
        <v>64</v>
      </c>
      <c r="BE27" s="198" t="s">
        <v>65</v>
      </c>
      <c r="BF27" s="198" t="s">
        <v>66</v>
      </c>
      <c r="BP27" s="201" t="str">
        <f>BY56</f>
        <v>C</v>
      </c>
      <c r="BQ27" s="2">
        <f>VLOOKUP(BP27,$AF$6:$AG$17,2,0)</f>
        <v>1</v>
      </c>
      <c r="BR27" s="201" t="str">
        <f t="shared" si="18"/>
        <v>C</v>
      </c>
      <c r="BS27" s="201" t="str">
        <f t="shared" si="18"/>
        <v>C♯</v>
      </c>
      <c r="BT27" s="201" t="str">
        <f t="shared" si="18"/>
        <v>D</v>
      </c>
      <c r="BU27" s="201" t="str">
        <f t="shared" si="18"/>
        <v>D♯</v>
      </c>
      <c r="BV27" s="201" t="str">
        <f t="shared" si="18"/>
        <v>E</v>
      </c>
      <c r="BW27" s="201" t="str">
        <f t="shared" si="18"/>
        <v>F</v>
      </c>
      <c r="BX27" s="201" t="str">
        <f t="shared" si="18"/>
        <v>F♯</v>
      </c>
      <c r="BY27" s="201" t="str">
        <f t="shared" si="18"/>
        <v>G</v>
      </c>
      <c r="BZ27" s="201" t="str">
        <f t="shared" si="18"/>
        <v>G♯</v>
      </c>
      <c r="CA27" s="201" t="str">
        <f t="shared" si="18"/>
        <v>A</v>
      </c>
      <c r="CB27" s="201" t="str">
        <f t="shared" si="19"/>
        <v>A♯</v>
      </c>
      <c r="CC27" s="201" t="str">
        <f t="shared" si="19"/>
        <v>B</v>
      </c>
      <c r="CD27" s="201" t="str">
        <f t="shared" si="19"/>
        <v>C</v>
      </c>
      <c r="CE27" s="201" t="str">
        <f t="shared" si="19"/>
        <v>C♯</v>
      </c>
      <c r="CF27" s="201" t="str">
        <f t="shared" si="19"/>
        <v>D</v>
      </c>
      <c r="CG27" s="201" t="str">
        <f t="shared" si="19"/>
        <v>D♯</v>
      </c>
      <c r="CH27" s="201" t="str">
        <f t="shared" si="19"/>
        <v>E</v>
      </c>
      <c r="CI27" s="201" t="str">
        <f t="shared" si="19"/>
        <v>F</v>
      </c>
      <c r="CQ27" s="198" t="s">
        <v>87</v>
      </c>
      <c r="CR27" s="198" t="s">
        <v>210</v>
      </c>
      <c r="CS27" s="198" t="str">
        <f t="shared" si="2"/>
        <v>minor</v>
      </c>
    </row>
    <row r="28" spans="3:97">
      <c r="G28" s="4"/>
      <c r="L28" s="4">
        <v>5</v>
      </c>
      <c r="M28" s="4" t="str">
        <f t="shared" si="14"/>
        <v>E</v>
      </c>
      <c r="N28" s="4" t="s">
        <v>209</v>
      </c>
      <c r="O28" s="4" t="s">
        <v>11</v>
      </c>
      <c r="P28" s="4" t="str">
        <f t="shared" si="17"/>
        <v>C♯ minor</v>
      </c>
      <c r="AF28" s="198" t="s">
        <v>102</v>
      </c>
      <c r="AG28" s="198" t="s">
        <v>103</v>
      </c>
      <c r="AH28" s="198" t="s">
        <v>99</v>
      </c>
      <c r="AI28" s="198" t="s">
        <v>392</v>
      </c>
      <c r="AJ28" s="198" t="s">
        <v>393</v>
      </c>
      <c r="AK28" s="198" t="s">
        <v>394</v>
      </c>
      <c r="AM28" s="198" t="s">
        <v>100</v>
      </c>
      <c r="AN28" s="198" t="s">
        <v>101</v>
      </c>
      <c r="AO28" s="198" t="s">
        <v>102</v>
      </c>
      <c r="AP28" s="198" t="s">
        <v>99</v>
      </c>
      <c r="AQ28" s="198" t="s">
        <v>100</v>
      </c>
      <c r="AR28" s="198" t="s">
        <v>101</v>
      </c>
      <c r="AS28" s="198" t="s">
        <v>93</v>
      </c>
      <c r="AU28" s="198">
        <v>1</v>
      </c>
      <c r="AV28" s="198">
        <v>2</v>
      </c>
      <c r="AW28" s="198">
        <v>3</v>
      </c>
      <c r="AX28" s="198">
        <v>4</v>
      </c>
      <c r="AY28" s="198">
        <v>1</v>
      </c>
      <c r="AZ28" s="198">
        <v>2</v>
      </c>
      <c r="BA28" s="198">
        <v>3</v>
      </c>
      <c r="BB28" s="198">
        <v>4</v>
      </c>
      <c r="BC28" s="198">
        <v>1</v>
      </c>
      <c r="BD28" s="198">
        <v>2</v>
      </c>
      <c r="BE28" s="198">
        <v>3</v>
      </c>
      <c r="BF28" s="198">
        <v>4</v>
      </c>
      <c r="BP28" s="201" t="str">
        <f>BY57</f>
        <v>G</v>
      </c>
      <c r="BQ28" s="2">
        <f>VLOOKUP(BP28,$AF$6:$AG$17,2,0)</f>
        <v>8</v>
      </c>
      <c r="BR28" s="201" t="str">
        <f t="shared" si="18"/>
        <v>G</v>
      </c>
      <c r="BS28" s="201" t="str">
        <f t="shared" si="18"/>
        <v>G♯</v>
      </c>
      <c r="BT28" s="201" t="str">
        <f t="shared" si="18"/>
        <v>A</v>
      </c>
      <c r="BU28" s="201" t="str">
        <f t="shared" si="18"/>
        <v>A♯</v>
      </c>
      <c r="BV28" s="201" t="str">
        <f t="shared" si="18"/>
        <v>B</v>
      </c>
      <c r="BW28" s="201" t="str">
        <f t="shared" si="18"/>
        <v>C</v>
      </c>
      <c r="BX28" s="201" t="str">
        <f t="shared" si="18"/>
        <v>C♯</v>
      </c>
      <c r="BY28" s="201" t="str">
        <f t="shared" si="18"/>
        <v>D</v>
      </c>
      <c r="BZ28" s="201" t="str">
        <f t="shared" si="18"/>
        <v>D♯</v>
      </c>
      <c r="CA28" s="201" t="str">
        <f t="shared" si="18"/>
        <v>E</v>
      </c>
      <c r="CB28" s="201" t="str">
        <f t="shared" si="19"/>
        <v>F</v>
      </c>
      <c r="CC28" s="201" t="str">
        <f t="shared" si="19"/>
        <v>F♯</v>
      </c>
      <c r="CD28" s="201" t="str">
        <f t="shared" si="19"/>
        <v>G</v>
      </c>
      <c r="CE28" s="201" t="str">
        <f t="shared" si="19"/>
        <v>G♯</v>
      </c>
      <c r="CF28" s="201" t="str">
        <f t="shared" si="19"/>
        <v>A</v>
      </c>
      <c r="CG28" s="201" t="str">
        <f t="shared" si="19"/>
        <v>A♯</v>
      </c>
      <c r="CH28" s="201" t="str">
        <f t="shared" si="19"/>
        <v>B</v>
      </c>
      <c r="CI28" s="201" t="str">
        <f t="shared" si="19"/>
        <v>C</v>
      </c>
      <c r="CQ28" s="198" t="s">
        <v>88</v>
      </c>
      <c r="CR28" s="198" t="s">
        <v>141</v>
      </c>
      <c r="CS28" s="198" t="str">
        <f t="shared" si="2"/>
        <v>Natural minor</v>
      </c>
    </row>
    <row r="29" spans="3:97">
      <c r="G29" s="4"/>
      <c r="L29" s="4">
        <v>6</v>
      </c>
      <c r="M29" s="4" t="str">
        <f t="shared" si="14"/>
        <v>F</v>
      </c>
      <c r="N29" s="4" t="s">
        <v>207</v>
      </c>
      <c r="O29" s="4" t="s">
        <v>212</v>
      </c>
      <c r="P29" s="4" t="str">
        <f t="shared" si="17"/>
        <v>D minor</v>
      </c>
      <c r="AF29" s="198">
        <v>1</v>
      </c>
      <c r="AG29" s="198" t="str">
        <f>D54</f>
        <v>I</v>
      </c>
      <c r="AH29" s="198" t="str">
        <f t="shared" ref="AH29:AH35" si="20">IF($AP$27=0,AT42,HLOOKUP($AF29,$AH$23:$AT$24,2,0))</f>
        <v>C</v>
      </c>
      <c r="AI29" s="198" t="str">
        <f t="shared" ref="AI29:AI35" si="21">IF($AP$27=0,AU42,HLOOKUP($AF29-1+3,$AH$23:$AT$24,2,0))</f>
        <v>E</v>
      </c>
      <c r="AJ29" s="198" t="str">
        <f t="shared" ref="AJ29:AJ35" si="22">IF($AP$27=0,AV42,HLOOKUP($AF29-1+5,$AH$23:$AT$24,2,0))</f>
        <v>G</v>
      </c>
      <c r="AK29" s="198" t="str">
        <f t="shared" ref="AK29:AK35" si="23">IF($AP$27=0,AW42,HLOOKUP($AF29-1+7,$AH$23:$AT$24,2,0))</f>
        <v>B</v>
      </c>
      <c r="AM29" s="198" t="str">
        <f t="shared" ref="AM29:AN35" si="24">$AP29&amp;AQ29</f>
        <v>C</v>
      </c>
      <c r="AN29" s="198" t="str">
        <f t="shared" si="24"/>
        <v>C△7</v>
      </c>
      <c r="AO29" s="198">
        <f t="shared" ref="AO29:AO35" si="25">AF29</f>
        <v>1</v>
      </c>
      <c r="AP29" s="198" t="str">
        <f t="shared" ref="AP29:AP35" si="26">IF($AP$27=0,AG29,AH29)</f>
        <v>C</v>
      </c>
      <c r="AQ29" s="198" t="str">
        <f t="shared" ref="AQ29:AQ35" si="27">IF(HLOOKUP($AR$27,$AU$28:$AX$35,AO29+1,0)=0,"",HLOOKUP($AR$27,$AU$28:$AX$35,AO29+1,0))</f>
        <v/>
      </c>
      <c r="AR29" s="198" t="str">
        <f t="shared" ref="AR29:AR35" si="28">IF(HLOOKUP($AR$27,$AY$28:$BB$35,AO29+1,0)=0,"",HLOOKUP($AR$27,$AY$28:$BB$35,AO29+1,0))</f>
        <v>△7</v>
      </c>
      <c r="AS29" s="198" t="str">
        <f t="shared" ref="AS29:AS35" si="29">HLOOKUP($AR$27,$BC$28:$BF$35,AO29+1,0)</f>
        <v>T</v>
      </c>
      <c r="AU29" s="201"/>
      <c r="AV29" s="201" t="s">
        <v>75</v>
      </c>
      <c r="AW29" s="201" t="s">
        <v>75</v>
      </c>
      <c r="AX29" s="201" t="s">
        <v>75</v>
      </c>
      <c r="AY29" s="201" t="s">
        <v>72</v>
      </c>
      <c r="AZ29" s="201" t="s">
        <v>76</v>
      </c>
      <c r="BA29" s="201" t="s">
        <v>77</v>
      </c>
      <c r="BB29" s="201" t="s">
        <v>77</v>
      </c>
      <c r="BC29" s="201" t="s">
        <v>96</v>
      </c>
      <c r="BD29" s="201" t="s">
        <v>184</v>
      </c>
      <c r="BE29" s="201" t="s">
        <v>184</v>
      </c>
      <c r="BF29" s="201" t="s">
        <v>184</v>
      </c>
      <c r="CQ29" s="198" t="s">
        <v>116</v>
      </c>
      <c r="CR29" s="198" t="s">
        <v>139</v>
      </c>
      <c r="CS29" s="198" t="str">
        <f t="shared" si="2"/>
        <v>Harmonic minor</v>
      </c>
    </row>
    <row r="30" spans="3:97">
      <c r="C30" s="196" t="s">
        <v>377</v>
      </c>
      <c r="D30" s="4">
        <f>IF(AND(grayout01=0,OR(H23=3,H23=4)),1,0)</f>
        <v>0</v>
      </c>
      <c r="G30" s="4"/>
      <c r="L30" s="4">
        <v>7</v>
      </c>
      <c r="M30" s="4" t="str">
        <f t="shared" si="14"/>
        <v>F♯ or G♭</v>
      </c>
      <c r="N30" s="4" t="str">
        <f>IF(AO17=2,"D♯"," E♭")</f>
        <v>D♯</v>
      </c>
      <c r="O30" s="4" t="s">
        <v>14</v>
      </c>
      <c r="P30" s="4" t="str">
        <f t="shared" si="17"/>
        <v>D♯ minor</v>
      </c>
      <c r="W30" s="198">
        <f>IF(ISNUMBER($AA$18),ROUND($AA$18,0),0)</f>
        <v>0</v>
      </c>
      <c r="AF30" s="198">
        <v>2</v>
      </c>
      <c r="AG30" s="198" t="str">
        <f>E54</f>
        <v>II</v>
      </c>
      <c r="AH30" s="198" t="str">
        <f t="shared" si="20"/>
        <v>D</v>
      </c>
      <c r="AI30" s="198" t="str">
        <f t="shared" si="21"/>
        <v>F</v>
      </c>
      <c r="AJ30" s="198" t="str">
        <f t="shared" si="22"/>
        <v>A</v>
      </c>
      <c r="AK30" s="198" t="str">
        <f t="shared" si="23"/>
        <v>C</v>
      </c>
      <c r="AM30" s="198" t="str">
        <f t="shared" si="24"/>
        <v>Dm</v>
      </c>
      <c r="AN30" s="198" t="str">
        <f t="shared" si="24"/>
        <v>Dm7</v>
      </c>
      <c r="AO30" s="198">
        <f t="shared" si="25"/>
        <v>2</v>
      </c>
      <c r="AP30" s="198" t="str">
        <f t="shared" si="26"/>
        <v>D</v>
      </c>
      <c r="AQ30" s="198" t="str">
        <f t="shared" si="27"/>
        <v>m</v>
      </c>
      <c r="AR30" s="198" t="str">
        <f t="shared" si="28"/>
        <v>m7</v>
      </c>
      <c r="AS30" s="198" t="str">
        <f t="shared" si="29"/>
        <v>SD</v>
      </c>
      <c r="AU30" s="201" t="s">
        <v>70</v>
      </c>
      <c r="AV30" s="201" t="s">
        <v>71</v>
      </c>
      <c r="AW30" s="201" t="s">
        <v>71</v>
      </c>
      <c r="AX30" s="201" t="s">
        <v>75</v>
      </c>
      <c r="AY30" s="201" t="s">
        <v>73</v>
      </c>
      <c r="AZ30" s="201" t="s">
        <v>74</v>
      </c>
      <c r="BA30" s="201" t="s">
        <v>74</v>
      </c>
      <c r="BB30" s="201" t="s">
        <v>76</v>
      </c>
      <c r="BC30" s="201" t="s">
        <v>98</v>
      </c>
      <c r="BD30" s="201" t="s">
        <v>185</v>
      </c>
      <c r="BE30" s="201" t="s">
        <v>185</v>
      </c>
      <c r="BF30" s="201" t="s">
        <v>98</v>
      </c>
      <c r="BR30" s="201">
        <f t="shared" ref="BR30:CI30" si="30">IF($BX54=0,0,IF(key1No=0,1,COUNTIF($D$47:$J$47,BR25)))</f>
        <v>1</v>
      </c>
      <c r="BS30" s="201">
        <f t="shared" si="30"/>
        <v>0</v>
      </c>
      <c r="BT30" s="201">
        <f t="shared" si="30"/>
        <v>1</v>
      </c>
      <c r="BU30" s="201">
        <f t="shared" si="30"/>
        <v>1</v>
      </c>
      <c r="BV30" s="201">
        <f t="shared" si="30"/>
        <v>0</v>
      </c>
      <c r="BW30" s="201">
        <f t="shared" si="30"/>
        <v>1</v>
      </c>
      <c r="BX30" s="201">
        <f t="shared" si="30"/>
        <v>0</v>
      </c>
      <c r="BY30" s="201">
        <f t="shared" si="30"/>
        <v>1</v>
      </c>
      <c r="BZ30" s="201">
        <f t="shared" si="30"/>
        <v>1</v>
      </c>
      <c r="CA30" s="201">
        <f t="shared" si="30"/>
        <v>0</v>
      </c>
      <c r="CB30" s="201">
        <f t="shared" si="30"/>
        <v>1</v>
      </c>
      <c r="CC30" s="201">
        <f t="shared" si="30"/>
        <v>0</v>
      </c>
      <c r="CD30" s="201">
        <f t="shared" si="30"/>
        <v>1</v>
      </c>
      <c r="CE30" s="201">
        <f t="shared" si="30"/>
        <v>0</v>
      </c>
      <c r="CF30" s="201">
        <f t="shared" si="30"/>
        <v>1</v>
      </c>
      <c r="CG30" s="201">
        <f t="shared" si="30"/>
        <v>1</v>
      </c>
      <c r="CH30" s="201">
        <f t="shared" si="30"/>
        <v>0</v>
      </c>
      <c r="CI30" s="201">
        <f t="shared" si="30"/>
        <v>1</v>
      </c>
      <c r="CQ30" s="198" t="s">
        <v>138</v>
      </c>
      <c r="CR30" s="198" t="s">
        <v>140</v>
      </c>
      <c r="CS30" s="198" t="str">
        <f t="shared" si="2"/>
        <v>Melodic minor</v>
      </c>
    </row>
    <row r="31" spans="3:97">
      <c r="G31" s="4"/>
      <c r="L31" s="4">
        <v>8</v>
      </c>
      <c r="M31" s="4" t="str">
        <f t="shared" si="14"/>
        <v>G</v>
      </c>
      <c r="N31" s="4" t="s">
        <v>13</v>
      </c>
      <c r="O31" s="4" t="s">
        <v>194</v>
      </c>
      <c r="P31" s="4" t="str">
        <f t="shared" si="17"/>
        <v>E minor</v>
      </c>
      <c r="W31" s="198">
        <f>IF(OR(W30&gt;=12,W30&lt;AA26),1,0)</f>
        <v>0</v>
      </c>
      <c r="AA31" s="198">
        <f>IF(AND(AA18&gt;=AA26-1,AA18&lt;=12),ROUND(AA18,0),0)</f>
        <v>0</v>
      </c>
      <c r="AB31" s="198" t="s">
        <v>396</v>
      </c>
      <c r="AF31" s="198">
        <v>3</v>
      </c>
      <c r="AG31" s="198" t="str">
        <f>F54</f>
        <v>III</v>
      </c>
      <c r="AH31" s="198" t="str">
        <f t="shared" si="20"/>
        <v>E</v>
      </c>
      <c r="AI31" s="198" t="str">
        <f t="shared" si="21"/>
        <v>G</v>
      </c>
      <c r="AJ31" s="198" t="str">
        <f t="shared" si="22"/>
        <v>B</v>
      </c>
      <c r="AK31" s="198" t="str">
        <f t="shared" si="23"/>
        <v>D</v>
      </c>
      <c r="AM31" s="198" t="str">
        <f t="shared" si="24"/>
        <v>Em</v>
      </c>
      <c r="AN31" s="198" t="str">
        <f t="shared" si="24"/>
        <v>Em7</v>
      </c>
      <c r="AO31" s="198">
        <f t="shared" si="25"/>
        <v>3</v>
      </c>
      <c r="AP31" s="198" t="str">
        <f t="shared" si="26"/>
        <v>E</v>
      </c>
      <c r="AQ31" s="198" t="str">
        <f t="shared" si="27"/>
        <v>m</v>
      </c>
      <c r="AR31" s="198" t="str">
        <f t="shared" si="28"/>
        <v>m7</v>
      </c>
      <c r="AS31" s="198" t="str">
        <f t="shared" si="29"/>
        <v>T</v>
      </c>
      <c r="AU31" s="201" t="s">
        <v>70</v>
      </c>
      <c r="AV31" s="201"/>
      <c r="AW31" s="201" t="s">
        <v>78</v>
      </c>
      <c r="AX31" s="201" t="s">
        <v>78</v>
      </c>
      <c r="AY31" s="201" t="s">
        <v>73</v>
      </c>
      <c r="AZ31" s="201" t="s">
        <v>72</v>
      </c>
      <c r="BA31" s="201" t="s">
        <v>79</v>
      </c>
      <c r="BB31" s="201" t="s">
        <v>79</v>
      </c>
      <c r="BC31" s="201" t="s">
        <v>96</v>
      </c>
      <c r="BD31" s="201" t="s">
        <v>184</v>
      </c>
      <c r="BE31" s="201" t="s">
        <v>184</v>
      </c>
      <c r="BF31" s="201" t="s">
        <v>184</v>
      </c>
      <c r="BR31" s="201">
        <f t="shared" ref="BR31:CI31" si="31">IF($BX55=0,0,IF(key1No=0,1,COUNTIF($D$47:$J$47,BR26)))</f>
        <v>1</v>
      </c>
      <c r="BS31" s="201">
        <f t="shared" si="31"/>
        <v>1</v>
      </c>
      <c r="BT31" s="201">
        <f t="shared" si="31"/>
        <v>0</v>
      </c>
      <c r="BU31" s="201">
        <f t="shared" si="31"/>
        <v>1</v>
      </c>
      <c r="BV31" s="201">
        <f t="shared" si="31"/>
        <v>0</v>
      </c>
      <c r="BW31" s="201">
        <f t="shared" si="31"/>
        <v>1</v>
      </c>
      <c r="BX31" s="201">
        <f t="shared" si="31"/>
        <v>0</v>
      </c>
      <c r="BY31" s="201">
        <f t="shared" si="31"/>
        <v>1</v>
      </c>
      <c r="BZ31" s="201">
        <f t="shared" si="31"/>
        <v>1</v>
      </c>
      <c r="CA31" s="201">
        <f t="shared" si="31"/>
        <v>0</v>
      </c>
      <c r="CB31" s="201">
        <f t="shared" si="31"/>
        <v>1</v>
      </c>
      <c r="CC31" s="201">
        <f t="shared" si="31"/>
        <v>0</v>
      </c>
      <c r="CD31" s="201">
        <f t="shared" si="31"/>
        <v>1</v>
      </c>
      <c r="CE31" s="201">
        <f t="shared" si="31"/>
        <v>1</v>
      </c>
      <c r="CF31" s="201">
        <f t="shared" si="31"/>
        <v>0</v>
      </c>
      <c r="CG31" s="201">
        <f t="shared" si="31"/>
        <v>1</v>
      </c>
      <c r="CH31" s="201">
        <f t="shared" si="31"/>
        <v>0</v>
      </c>
      <c r="CI31" s="201">
        <f t="shared" si="31"/>
        <v>1</v>
      </c>
      <c r="CQ31" s="198" t="s">
        <v>121</v>
      </c>
      <c r="CR31" s="198" t="s">
        <v>122</v>
      </c>
      <c r="CS31" s="198" t="str">
        <f t="shared" si="2"/>
        <v>No Capo</v>
      </c>
    </row>
    <row r="32" spans="3:97">
      <c r="G32" s="4"/>
      <c r="I32" s="200">
        <f>IF(H10=2,0,1)</f>
        <v>1</v>
      </c>
      <c r="J32" s="7"/>
      <c r="L32" s="4">
        <v>9</v>
      </c>
      <c r="M32" s="4" t="str">
        <f t="shared" si="14"/>
        <v>G♯ or A♭</v>
      </c>
      <c r="N32" s="4" t="s">
        <v>208</v>
      </c>
      <c r="O32" s="4" t="s">
        <v>206</v>
      </c>
      <c r="P32" s="4" t="str">
        <f t="shared" si="17"/>
        <v>F minor</v>
      </c>
      <c r="AF32" s="198">
        <v>4</v>
      </c>
      <c r="AG32" s="198" t="str">
        <f>G54</f>
        <v>IV</v>
      </c>
      <c r="AH32" s="198" t="str">
        <f t="shared" si="20"/>
        <v>F</v>
      </c>
      <c r="AI32" s="198" t="str">
        <f t="shared" si="21"/>
        <v>A</v>
      </c>
      <c r="AJ32" s="198" t="str">
        <f t="shared" si="22"/>
        <v>C</v>
      </c>
      <c r="AK32" s="198" t="str">
        <f t="shared" si="23"/>
        <v>E</v>
      </c>
      <c r="AM32" s="198" t="str">
        <f t="shared" si="24"/>
        <v>F</v>
      </c>
      <c r="AN32" s="198" t="str">
        <f t="shared" si="24"/>
        <v>F△7</v>
      </c>
      <c r="AO32" s="198">
        <f t="shared" si="25"/>
        <v>4</v>
      </c>
      <c r="AP32" s="198" t="str">
        <f t="shared" si="26"/>
        <v>F</v>
      </c>
      <c r="AQ32" s="198" t="str">
        <f t="shared" si="27"/>
        <v/>
      </c>
      <c r="AR32" s="198" t="str">
        <f t="shared" si="28"/>
        <v>△7</v>
      </c>
      <c r="AS32" s="198" t="str">
        <f t="shared" si="29"/>
        <v>SD</v>
      </c>
      <c r="AU32" s="201"/>
      <c r="AV32" s="201" t="s">
        <v>70</v>
      </c>
      <c r="AW32" s="201" t="s">
        <v>70</v>
      </c>
      <c r="AX32" s="201"/>
      <c r="AY32" s="201" t="s">
        <v>72</v>
      </c>
      <c r="AZ32" s="201" t="s">
        <v>73</v>
      </c>
      <c r="BA32" s="201" t="s">
        <v>73</v>
      </c>
      <c r="BB32" s="201">
        <v>7</v>
      </c>
      <c r="BC32" s="201" t="s">
        <v>98</v>
      </c>
      <c r="BD32" s="201" t="s">
        <v>185</v>
      </c>
      <c r="BE32" s="201" t="s">
        <v>185</v>
      </c>
      <c r="BF32" s="201" t="s">
        <v>98</v>
      </c>
      <c r="BR32" s="201">
        <f t="shared" ref="BR32:CI32" si="32">IF($BX56=0,0,IF(key1No=0,1,COUNTIF($D$47:$J$47,BR27)))</f>
        <v>1</v>
      </c>
      <c r="BS32" s="201">
        <f t="shared" si="32"/>
        <v>0</v>
      </c>
      <c r="BT32" s="201">
        <f t="shared" si="32"/>
        <v>1</v>
      </c>
      <c r="BU32" s="201">
        <f t="shared" si="32"/>
        <v>0</v>
      </c>
      <c r="BV32" s="201">
        <f t="shared" si="32"/>
        <v>1</v>
      </c>
      <c r="BW32" s="201">
        <f t="shared" si="32"/>
        <v>1</v>
      </c>
      <c r="BX32" s="201">
        <f t="shared" si="32"/>
        <v>0</v>
      </c>
      <c r="BY32" s="201">
        <f t="shared" si="32"/>
        <v>1</v>
      </c>
      <c r="BZ32" s="201">
        <f t="shared" si="32"/>
        <v>0</v>
      </c>
      <c r="CA32" s="201">
        <f t="shared" si="32"/>
        <v>1</v>
      </c>
      <c r="CB32" s="201">
        <f t="shared" si="32"/>
        <v>0</v>
      </c>
      <c r="CC32" s="201">
        <f t="shared" si="32"/>
        <v>1</v>
      </c>
      <c r="CD32" s="201">
        <f t="shared" si="32"/>
        <v>1</v>
      </c>
      <c r="CE32" s="201">
        <f t="shared" si="32"/>
        <v>0</v>
      </c>
      <c r="CF32" s="201">
        <f t="shared" si="32"/>
        <v>1</v>
      </c>
      <c r="CG32" s="201">
        <f t="shared" si="32"/>
        <v>0</v>
      </c>
      <c r="CH32" s="201">
        <f t="shared" si="32"/>
        <v>1</v>
      </c>
      <c r="CI32" s="201">
        <f t="shared" si="32"/>
        <v>1</v>
      </c>
      <c r="CQ32" s="198" t="s">
        <v>143</v>
      </c>
      <c r="CR32" s="198" t="s">
        <v>144</v>
      </c>
      <c r="CS32" s="198" t="str">
        <f t="shared" si="2"/>
        <v>Pentatonic Scale</v>
      </c>
    </row>
    <row r="33" spans="3:97">
      <c r="I33" s="196" t="s">
        <v>282</v>
      </c>
      <c r="L33" s="4">
        <v>10</v>
      </c>
      <c r="M33" s="4" t="str">
        <f t="shared" si="14"/>
        <v>A</v>
      </c>
      <c r="N33" s="4" t="s">
        <v>214</v>
      </c>
      <c r="O33" s="4" t="s">
        <v>12</v>
      </c>
      <c r="P33" s="4" t="str">
        <f t="shared" si="17"/>
        <v>F♯ minor</v>
      </c>
      <c r="AF33" s="198">
        <v>5</v>
      </c>
      <c r="AG33" s="198" t="str">
        <f>H54</f>
        <v>V</v>
      </c>
      <c r="AH33" s="198" t="str">
        <f t="shared" si="20"/>
        <v>G</v>
      </c>
      <c r="AI33" s="198" t="str">
        <f t="shared" si="21"/>
        <v>B</v>
      </c>
      <c r="AJ33" s="198" t="str">
        <f t="shared" si="22"/>
        <v>D</v>
      </c>
      <c r="AK33" s="198" t="str">
        <f t="shared" si="23"/>
        <v>F</v>
      </c>
      <c r="AM33" s="198" t="str">
        <f t="shared" si="24"/>
        <v>G</v>
      </c>
      <c r="AN33" s="198" t="str">
        <f t="shared" si="24"/>
        <v>G7</v>
      </c>
      <c r="AO33" s="198">
        <f t="shared" si="25"/>
        <v>5</v>
      </c>
      <c r="AP33" s="198" t="str">
        <f t="shared" si="26"/>
        <v>G</v>
      </c>
      <c r="AQ33" s="198" t="str">
        <f t="shared" si="27"/>
        <v/>
      </c>
      <c r="AR33" s="198">
        <f t="shared" si="28"/>
        <v>7</v>
      </c>
      <c r="AS33" s="198" t="str">
        <f t="shared" si="29"/>
        <v>D</v>
      </c>
      <c r="AU33" s="201"/>
      <c r="AV33" s="201" t="s">
        <v>70</v>
      </c>
      <c r="AW33" s="201"/>
      <c r="AX33" s="201"/>
      <c r="AY33" s="201">
        <v>7</v>
      </c>
      <c r="AZ33" s="201" t="s">
        <v>73</v>
      </c>
      <c r="BA33" s="201">
        <v>7</v>
      </c>
      <c r="BB33" s="201">
        <v>7</v>
      </c>
      <c r="BC33" s="201" t="s">
        <v>97</v>
      </c>
      <c r="BD33" s="201" t="s">
        <v>386</v>
      </c>
      <c r="BE33" s="201" t="s">
        <v>97</v>
      </c>
      <c r="BF33" s="201" t="s">
        <v>97</v>
      </c>
      <c r="BR33" s="201">
        <f t="shared" ref="BR33:CI33" si="33">IF($BX57=0,0,IF(key1No=0,1,COUNTIF($D$47:$J$47,BR28)))</f>
        <v>1</v>
      </c>
      <c r="BS33" s="201">
        <f t="shared" si="33"/>
        <v>0</v>
      </c>
      <c r="BT33" s="201">
        <f t="shared" si="33"/>
        <v>1</v>
      </c>
      <c r="BU33" s="201">
        <f t="shared" si="33"/>
        <v>0</v>
      </c>
      <c r="BV33" s="201">
        <f t="shared" si="33"/>
        <v>1</v>
      </c>
      <c r="BW33" s="201">
        <f t="shared" si="33"/>
        <v>1</v>
      </c>
      <c r="BX33" s="201">
        <f t="shared" si="33"/>
        <v>0</v>
      </c>
      <c r="BY33" s="201">
        <f t="shared" si="33"/>
        <v>1</v>
      </c>
      <c r="BZ33" s="201">
        <f t="shared" si="33"/>
        <v>0</v>
      </c>
      <c r="CA33" s="201">
        <f t="shared" si="33"/>
        <v>1</v>
      </c>
      <c r="CB33" s="201">
        <f t="shared" si="33"/>
        <v>1</v>
      </c>
      <c r="CC33" s="201">
        <f t="shared" si="33"/>
        <v>0</v>
      </c>
      <c r="CD33" s="201">
        <f t="shared" si="33"/>
        <v>1</v>
      </c>
      <c r="CE33" s="201">
        <f t="shared" si="33"/>
        <v>0</v>
      </c>
      <c r="CF33" s="201">
        <f t="shared" si="33"/>
        <v>1</v>
      </c>
      <c r="CG33" s="201">
        <f t="shared" si="33"/>
        <v>0</v>
      </c>
      <c r="CH33" s="201">
        <f t="shared" si="33"/>
        <v>1</v>
      </c>
      <c r="CI33" s="201">
        <f t="shared" si="33"/>
        <v>1</v>
      </c>
      <c r="CQ33" s="198"/>
      <c r="CR33" s="198"/>
      <c r="CS33" s="198">
        <f t="shared" si="2"/>
        <v>0</v>
      </c>
    </row>
    <row r="34" spans="3:97">
      <c r="L34" s="4">
        <v>11</v>
      </c>
      <c r="M34" s="4" t="str">
        <f t="shared" si="14"/>
        <v>B♭</v>
      </c>
      <c r="N34" s="4" t="s">
        <v>11</v>
      </c>
      <c r="O34" s="4" t="s">
        <v>213</v>
      </c>
      <c r="P34" s="4" t="str">
        <f t="shared" si="17"/>
        <v>G minor</v>
      </c>
      <c r="U34" s="198"/>
      <c r="V34" s="198"/>
      <c r="W34" s="198"/>
      <c r="X34" s="198"/>
      <c r="Y34" s="198"/>
      <c r="Z34" s="198"/>
      <c r="AA34" s="198"/>
      <c r="AB34" s="198"/>
      <c r="AC34" s="198"/>
      <c r="AF34" s="198">
        <v>6</v>
      </c>
      <c r="AG34" s="198" t="str">
        <f>I54</f>
        <v>VI</v>
      </c>
      <c r="AH34" s="198" t="str">
        <f t="shared" si="20"/>
        <v>A</v>
      </c>
      <c r="AI34" s="198" t="str">
        <f t="shared" si="21"/>
        <v>C</v>
      </c>
      <c r="AJ34" s="198" t="str">
        <f t="shared" si="22"/>
        <v>E</v>
      </c>
      <c r="AK34" s="198" t="str">
        <f t="shared" si="23"/>
        <v>G</v>
      </c>
      <c r="AM34" s="198" t="str">
        <f t="shared" si="24"/>
        <v>Am</v>
      </c>
      <c r="AN34" s="198" t="str">
        <f t="shared" si="24"/>
        <v>Am7</v>
      </c>
      <c r="AO34" s="198">
        <f t="shared" si="25"/>
        <v>6</v>
      </c>
      <c r="AP34" s="198" t="str">
        <f t="shared" si="26"/>
        <v>A</v>
      </c>
      <c r="AQ34" s="198" t="str">
        <f t="shared" si="27"/>
        <v>m</v>
      </c>
      <c r="AR34" s="198" t="str">
        <f t="shared" si="28"/>
        <v>m7</v>
      </c>
      <c r="AS34" s="198" t="str">
        <f t="shared" si="29"/>
        <v>T</v>
      </c>
      <c r="AU34" s="201" t="s">
        <v>70</v>
      </c>
      <c r="AV34" s="201"/>
      <c r="AW34" s="201"/>
      <c r="AX34" s="201" t="s">
        <v>71</v>
      </c>
      <c r="AY34" s="201" t="s">
        <v>73</v>
      </c>
      <c r="AZ34" s="201" t="s">
        <v>72</v>
      </c>
      <c r="BA34" s="201" t="s">
        <v>72</v>
      </c>
      <c r="BB34" s="201" t="s">
        <v>81</v>
      </c>
      <c r="BC34" s="201" t="s">
        <v>96</v>
      </c>
      <c r="BD34" s="201" t="s">
        <v>185</v>
      </c>
      <c r="BE34" s="201" t="s">
        <v>185</v>
      </c>
      <c r="BF34" s="201" t="s">
        <v>184</v>
      </c>
      <c r="CQ34" s="198"/>
      <c r="CR34" s="198"/>
      <c r="CS34" s="198">
        <f t="shared" si="2"/>
        <v>0</v>
      </c>
    </row>
    <row r="35" spans="3:97">
      <c r="D35" s="200">
        <f>IF(OR(key1No=0,key1No&gt;5),0,key1No)</f>
        <v>1</v>
      </c>
      <c r="L35" s="4">
        <v>12</v>
      </c>
      <c r="M35" s="4" t="str">
        <f t="shared" si="14"/>
        <v>B</v>
      </c>
      <c r="N35" s="4" t="s">
        <v>215</v>
      </c>
      <c r="O35" s="4" t="s">
        <v>207</v>
      </c>
      <c r="P35" s="4" t="str">
        <f t="shared" si="17"/>
        <v>G♯ minor</v>
      </c>
      <c r="U35" s="198"/>
      <c r="V35" s="198"/>
      <c r="W35" s="198"/>
      <c r="X35" s="198"/>
      <c r="Y35" s="198"/>
      <c r="Z35" s="198"/>
      <c r="AA35" s="198"/>
      <c r="AB35" s="198"/>
      <c r="AC35" s="198"/>
      <c r="AF35" s="198">
        <v>7</v>
      </c>
      <c r="AG35" s="198" t="str">
        <f>J54</f>
        <v>VII</v>
      </c>
      <c r="AH35" s="198" t="str">
        <f t="shared" si="20"/>
        <v>B</v>
      </c>
      <c r="AI35" s="198" t="str">
        <f t="shared" si="21"/>
        <v>D</v>
      </c>
      <c r="AJ35" s="198" t="str">
        <f t="shared" si="22"/>
        <v>F</v>
      </c>
      <c r="AK35" s="198" t="str">
        <f t="shared" si="23"/>
        <v>A</v>
      </c>
      <c r="AM35" s="198" t="str">
        <f t="shared" si="24"/>
        <v>Bm(♭5)</v>
      </c>
      <c r="AN35" s="198" t="str">
        <f t="shared" si="24"/>
        <v>Bm7(♭5)</v>
      </c>
      <c r="AO35" s="198">
        <f t="shared" si="25"/>
        <v>7</v>
      </c>
      <c r="AP35" s="198" t="str">
        <f t="shared" si="26"/>
        <v>B</v>
      </c>
      <c r="AQ35" s="198" t="str">
        <f t="shared" si="27"/>
        <v>m(♭5)</v>
      </c>
      <c r="AR35" s="198" t="str">
        <f t="shared" si="28"/>
        <v>m7(♭5)</v>
      </c>
      <c r="AS35" s="198" t="str">
        <f t="shared" si="29"/>
        <v>D</v>
      </c>
      <c r="AU35" s="201" t="s">
        <v>71</v>
      </c>
      <c r="AV35" s="201"/>
      <c r="AW35" s="201" t="s">
        <v>71</v>
      </c>
      <c r="AX35" s="201" t="s">
        <v>71</v>
      </c>
      <c r="AY35" s="201" t="s">
        <v>74</v>
      </c>
      <c r="AZ35" s="201">
        <v>7</v>
      </c>
      <c r="BA35" s="201" t="s">
        <v>80</v>
      </c>
      <c r="BB35" s="201" t="s">
        <v>81</v>
      </c>
      <c r="BC35" s="201" t="s">
        <v>97</v>
      </c>
      <c r="BD35" s="201" t="s">
        <v>185</v>
      </c>
      <c r="BE35" s="201" t="s">
        <v>97</v>
      </c>
      <c r="BF35" s="201" t="s">
        <v>97</v>
      </c>
      <c r="BQ35" s="5"/>
      <c r="BS35" s="198">
        <f t="shared" ref="BS35:CI35" si="34">IF(COUNTIF($AL$5:$AL$10,BS23)&gt;0,1,0)</f>
        <v>0</v>
      </c>
      <c r="BT35" s="198">
        <f t="shared" si="34"/>
        <v>0</v>
      </c>
      <c r="BU35" s="198">
        <f t="shared" si="34"/>
        <v>0</v>
      </c>
      <c r="BV35" s="198">
        <f t="shared" si="34"/>
        <v>0</v>
      </c>
      <c r="BW35" s="198">
        <f t="shared" si="34"/>
        <v>1</v>
      </c>
      <c r="BX35" s="198">
        <f t="shared" si="34"/>
        <v>0</v>
      </c>
      <c r="BY35" s="198">
        <f t="shared" si="34"/>
        <v>1</v>
      </c>
      <c r="BZ35" s="198">
        <f t="shared" si="34"/>
        <v>0</v>
      </c>
      <c r="CA35" s="198">
        <f t="shared" si="34"/>
        <v>0</v>
      </c>
      <c r="CB35" s="198">
        <f t="shared" si="34"/>
        <v>1</v>
      </c>
      <c r="CC35" s="198">
        <f t="shared" si="34"/>
        <v>0</v>
      </c>
      <c r="CD35" s="198">
        <f t="shared" si="34"/>
        <v>0</v>
      </c>
      <c r="CE35" s="198">
        <f t="shared" si="34"/>
        <v>0</v>
      </c>
      <c r="CF35" s="198">
        <f t="shared" si="34"/>
        <v>0</v>
      </c>
      <c r="CG35" s="198">
        <f t="shared" si="34"/>
        <v>0</v>
      </c>
      <c r="CH35" s="198">
        <f t="shared" si="34"/>
        <v>0</v>
      </c>
      <c r="CI35" s="198">
        <f t="shared" si="34"/>
        <v>0</v>
      </c>
      <c r="CQ35" s="198" t="s">
        <v>7</v>
      </c>
      <c r="CR35" s="198" t="s">
        <v>146</v>
      </c>
      <c r="CS35" s="198" t="str">
        <f t="shared" si="2"/>
        <v>Diatonic Scale</v>
      </c>
    </row>
    <row r="36" spans="3:97">
      <c r="U36" s="198"/>
      <c r="V36" s="198" t="s">
        <v>240</v>
      </c>
      <c r="W36" s="198" t="s">
        <v>241</v>
      </c>
      <c r="X36" s="198" t="s">
        <v>239</v>
      </c>
      <c r="Y36" s="198" t="s">
        <v>242</v>
      </c>
      <c r="Z36" s="198" t="s">
        <v>244</v>
      </c>
      <c r="AA36" s="198" t="s">
        <v>243</v>
      </c>
      <c r="AB36" s="198"/>
      <c r="AC36" s="198"/>
      <c r="CQ36" s="198" t="s">
        <v>54</v>
      </c>
      <c r="CR36" s="198" t="s">
        <v>145</v>
      </c>
      <c r="CS36" s="198" t="str">
        <f t="shared" ref="CS36:CS77" si="35">IF(Lang00=2,CQ36,CR36)</f>
        <v>Major Diatonic Scale</v>
      </c>
    </row>
    <row r="37" spans="3:97">
      <c r="U37" s="198" t="s">
        <v>10</v>
      </c>
      <c r="V37" s="201" t="str">
        <f t="shared" ref="V37:V42" si="36">AI6</f>
        <v>E</v>
      </c>
      <c r="W37" s="198">
        <f t="shared" ref="W37:W46" si="37">VLOOKUP(V37,$AF$5:$AG$17,2,0)</f>
        <v>5</v>
      </c>
      <c r="X37" s="201" t="str">
        <f t="shared" ref="X37:X42" si="38">BP7</f>
        <v>E</v>
      </c>
      <c r="Y37" s="198">
        <f t="shared" ref="Y37:Y46" si="39">IF(OR(X37="",X37=0),0,VLOOKUP(X37,$AF$5:$AG$17,2,0))</f>
        <v>5</v>
      </c>
      <c r="Z37" s="198">
        <f>IF(Y37&gt;W37,Y37-12,Y37)</f>
        <v>5</v>
      </c>
      <c r="AA37" s="198">
        <f>IF(Y37=0,100,-1*(W37-Z37))</f>
        <v>0</v>
      </c>
      <c r="AB37" s="198">
        <f>IF(OR(AA37=AA46,AA37=100,AA46=100),1,0)</f>
        <v>1</v>
      </c>
      <c r="AC37" s="198">
        <f>IF(OR(AA37=0,AA37=100),1,0)</f>
        <v>1</v>
      </c>
      <c r="BR37" s="204" t="s">
        <v>183</v>
      </c>
      <c r="BS37" s="198" t="str">
        <f>IF(BS35=1,BS23,"")</f>
        <v/>
      </c>
      <c r="BT37" s="198" t="str">
        <f t="shared" ref="BT37:CI37" si="40">IF(BT35=1,BT23,"")</f>
        <v/>
      </c>
      <c r="BU37" s="198" t="str">
        <f t="shared" si="40"/>
        <v/>
      </c>
      <c r="BV37" s="198" t="str">
        <f t="shared" si="40"/>
        <v/>
      </c>
      <c r="BW37" s="198">
        <f t="shared" si="40"/>
        <v>5</v>
      </c>
      <c r="BX37" s="198" t="str">
        <f t="shared" si="40"/>
        <v/>
      </c>
      <c r="BY37" s="198">
        <f t="shared" si="40"/>
        <v>7</v>
      </c>
      <c r="BZ37" s="198" t="str">
        <f t="shared" si="40"/>
        <v/>
      </c>
      <c r="CA37" s="198" t="str">
        <f t="shared" si="40"/>
        <v/>
      </c>
      <c r="CB37" s="198">
        <f t="shared" si="40"/>
        <v>10</v>
      </c>
      <c r="CC37" s="198" t="str">
        <f t="shared" si="40"/>
        <v/>
      </c>
      <c r="CD37" s="198" t="str">
        <f t="shared" si="40"/>
        <v/>
      </c>
      <c r="CE37" s="198" t="str">
        <f t="shared" si="40"/>
        <v/>
      </c>
      <c r="CF37" s="198" t="str">
        <f t="shared" si="40"/>
        <v/>
      </c>
      <c r="CG37" s="198" t="str">
        <f t="shared" si="40"/>
        <v/>
      </c>
      <c r="CH37" s="198" t="str">
        <f t="shared" si="40"/>
        <v/>
      </c>
      <c r="CI37" s="198" t="str">
        <f t="shared" si="40"/>
        <v/>
      </c>
      <c r="CQ37" s="198" t="s">
        <v>115</v>
      </c>
      <c r="CR37" s="198" t="s">
        <v>147</v>
      </c>
      <c r="CS37" s="198" t="str">
        <f t="shared" si="35"/>
        <v>Natural minor Scale</v>
      </c>
    </row>
    <row r="38" spans="3:97">
      <c r="U38" s="198"/>
      <c r="V38" s="201" t="str">
        <f t="shared" si="36"/>
        <v>B</v>
      </c>
      <c r="W38" s="198">
        <f t="shared" si="37"/>
        <v>12</v>
      </c>
      <c r="X38" s="201" t="str">
        <f t="shared" si="38"/>
        <v>B</v>
      </c>
      <c r="Y38" s="198">
        <f t="shared" si="39"/>
        <v>12</v>
      </c>
      <c r="Z38" s="198">
        <f t="shared" ref="Z38:Z46" si="41">IF(Y38&gt;W38,Y38-12,Y38)</f>
        <v>12</v>
      </c>
      <c r="AA38" s="198">
        <f t="shared" ref="AA38:AA46" si="42">IF(Y38=0,100,-1*(W38-Z38))</f>
        <v>0</v>
      </c>
      <c r="AB38" s="198">
        <f>IF(OR(AA38=AA37,AA38=100,AA37=100),1,0)</f>
        <v>1</v>
      </c>
      <c r="AC38" s="198">
        <f t="shared" ref="AC38:AC46" si="43">IF(OR(AA38=0,AA38=100),1,0)</f>
        <v>1</v>
      </c>
      <c r="AR38" s="6"/>
      <c r="CQ38" s="198" t="s">
        <v>55</v>
      </c>
      <c r="CR38" s="198" t="s">
        <v>148</v>
      </c>
      <c r="CS38" s="198" t="str">
        <f t="shared" si="35"/>
        <v>Harmonic minor Scale</v>
      </c>
    </row>
    <row r="39" spans="3:97">
      <c r="U39" s="198"/>
      <c r="V39" s="201" t="str">
        <f t="shared" si="36"/>
        <v>G</v>
      </c>
      <c r="W39" s="198">
        <f t="shared" si="37"/>
        <v>8</v>
      </c>
      <c r="X39" s="201" t="str">
        <f t="shared" si="38"/>
        <v>G</v>
      </c>
      <c r="Y39" s="198">
        <f t="shared" si="39"/>
        <v>8</v>
      </c>
      <c r="Z39" s="198">
        <f t="shared" si="41"/>
        <v>8</v>
      </c>
      <c r="AA39" s="198">
        <f>IF(Y39=0,100,-1*(W39-Z39))</f>
        <v>0</v>
      </c>
      <c r="AB39" s="198">
        <f t="shared" ref="AB39:AB46" si="44">IF(OR(AA39=AA38,AA39=100,AA38=100),1,0)</f>
        <v>1</v>
      </c>
      <c r="AC39" s="198">
        <f t="shared" si="43"/>
        <v>1</v>
      </c>
      <c r="AL39" s="198" t="s">
        <v>106</v>
      </c>
      <c r="AM39" s="198"/>
      <c r="AN39" s="198"/>
      <c r="AO39" s="198" t="s">
        <v>223</v>
      </c>
      <c r="BH39" s="198"/>
      <c r="BI39" s="198">
        <v>2</v>
      </c>
      <c r="BJ39" s="198">
        <v>3</v>
      </c>
      <c r="BL39" s="4">
        <f t="shared" ref="BL39:BL50" si="45">IF(COUNTIF($AT$56:$AZ$56,BM39)=0,"",HLOOKUP(BM39,$AT$56:$AZ$57,2,0))</f>
        <v>1</v>
      </c>
      <c r="BM39" s="4">
        <v>1</v>
      </c>
      <c r="CQ39" s="198" t="s">
        <v>56</v>
      </c>
      <c r="CR39" s="198" t="s">
        <v>149</v>
      </c>
      <c r="CS39" s="198" t="str">
        <f t="shared" si="35"/>
        <v>Melodic minor Scale</v>
      </c>
    </row>
    <row r="40" spans="3:97">
      <c r="C40" s="196" t="s">
        <v>205</v>
      </c>
      <c r="D40" s="4" t="str">
        <f>IF($H$46=1,D47,"*")</f>
        <v>*</v>
      </c>
      <c r="E40" s="4" t="str">
        <f t="shared" ref="E40:G40" si="46">IF($H$46=1,E47,"*")</f>
        <v>*</v>
      </c>
      <c r="F40" s="4" t="str">
        <f t="shared" si="46"/>
        <v>*</v>
      </c>
      <c r="G40" s="4" t="str">
        <f t="shared" si="46"/>
        <v>*</v>
      </c>
      <c r="U40" s="198"/>
      <c r="V40" s="201" t="str">
        <f t="shared" si="36"/>
        <v>D</v>
      </c>
      <c r="W40" s="198">
        <f t="shared" si="37"/>
        <v>3</v>
      </c>
      <c r="X40" s="201" t="str">
        <f t="shared" si="38"/>
        <v>D</v>
      </c>
      <c r="Y40" s="198">
        <f t="shared" si="39"/>
        <v>3</v>
      </c>
      <c r="Z40" s="198">
        <f t="shared" si="41"/>
        <v>3</v>
      </c>
      <c r="AA40" s="198">
        <f t="shared" si="42"/>
        <v>0</v>
      </c>
      <c r="AB40" s="198">
        <f t="shared" si="44"/>
        <v>1</v>
      </c>
      <c r="AC40" s="198">
        <f t="shared" si="43"/>
        <v>1</v>
      </c>
      <c r="AL40" s="198" t="str">
        <f>CS47</f>
        <v>Triad</v>
      </c>
      <c r="AM40" s="198">
        <v>3</v>
      </c>
      <c r="AN40" s="198">
        <f>IF(Lang00=2,2,1)</f>
        <v>1</v>
      </c>
      <c r="AO40" s="198">
        <f>VLOOKUP(AM44,AL40:AN43,3,0)</f>
        <v>1</v>
      </c>
      <c r="BH40" s="198">
        <v>1</v>
      </c>
      <c r="BI40" s="198" t="s">
        <v>225</v>
      </c>
      <c r="BJ40" s="198" t="s">
        <v>225</v>
      </c>
      <c r="BL40" s="4" t="str">
        <f t="shared" si="45"/>
        <v/>
      </c>
      <c r="BM40" s="4">
        <v>2</v>
      </c>
      <c r="CQ40" s="198"/>
      <c r="CR40" s="198"/>
      <c r="CS40" s="198">
        <f t="shared" si="35"/>
        <v>0</v>
      </c>
    </row>
    <row r="41" spans="3:97">
      <c r="D41" s="196" t="s">
        <v>391</v>
      </c>
      <c r="E41" s="4">
        <f>IF(OR(E40="",E40="*"),0,E40)</f>
        <v>0</v>
      </c>
      <c r="F41" s="4">
        <f t="shared" ref="F41:G41" si="47">IF(OR(F40="",F40="*"),0,F40)</f>
        <v>0</v>
      </c>
      <c r="G41" s="4">
        <f t="shared" si="47"/>
        <v>0</v>
      </c>
      <c r="U41" s="198"/>
      <c r="V41" s="201" t="str">
        <f t="shared" si="36"/>
        <v>A</v>
      </c>
      <c r="W41" s="198">
        <f t="shared" si="37"/>
        <v>10</v>
      </c>
      <c r="X41" s="201" t="str">
        <f t="shared" si="38"/>
        <v>A</v>
      </c>
      <c r="Y41" s="198">
        <f t="shared" si="39"/>
        <v>10</v>
      </c>
      <c r="Z41" s="198">
        <f t="shared" si="41"/>
        <v>10</v>
      </c>
      <c r="AA41" s="198">
        <f t="shared" si="42"/>
        <v>0</v>
      </c>
      <c r="AB41" s="198">
        <f t="shared" si="44"/>
        <v>1</v>
      </c>
      <c r="AC41" s="198">
        <f t="shared" si="43"/>
        <v>1</v>
      </c>
      <c r="AF41" s="198" t="s">
        <v>68</v>
      </c>
      <c r="AI41" s="198" t="str">
        <f>'Diatonic Chart'!D24</f>
        <v>OFF</v>
      </c>
      <c r="AJ41" s="198">
        <f>IF(OR(AI41="",AI41=0,AI41=AF42),0,VLOOKUP(AI41,AI42:AJ53,2,0))</f>
        <v>0</v>
      </c>
      <c r="AL41" s="198" t="str">
        <f>CS48</f>
        <v>7th</v>
      </c>
      <c r="AM41" s="198">
        <v>4</v>
      </c>
      <c r="AN41" s="198">
        <f>IF(Lang00=2,2,1)</f>
        <v>1</v>
      </c>
      <c r="AO41" s="198"/>
      <c r="AR41" s="198"/>
      <c r="AS41" s="198"/>
      <c r="AT41" s="198" t="s">
        <v>395</v>
      </c>
      <c r="AU41" s="198" t="s">
        <v>229</v>
      </c>
      <c r="AV41" s="198" t="s">
        <v>231</v>
      </c>
      <c r="AW41" s="198" t="s">
        <v>237</v>
      </c>
      <c r="AX41" s="198"/>
      <c r="AY41" s="198" t="s">
        <v>395</v>
      </c>
      <c r="AZ41" s="198" t="s">
        <v>229</v>
      </c>
      <c r="BA41" s="198" t="s">
        <v>231</v>
      </c>
      <c r="BB41" s="198" t="s">
        <v>237</v>
      </c>
      <c r="BC41" s="198" t="s">
        <v>99</v>
      </c>
      <c r="BD41" s="198">
        <v>3</v>
      </c>
      <c r="BE41" s="198">
        <v>5</v>
      </c>
      <c r="BF41" s="198">
        <v>7</v>
      </c>
      <c r="BH41" s="198">
        <v>2</v>
      </c>
      <c r="BI41" s="198" t="s">
        <v>226</v>
      </c>
      <c r="BJ41" s="198" t="s">
        <v>226</v>
      </c>
      <c r="BL41" s="4">
        <f t="shared" si="45"/>
        <v>2</v>
      </c>
      <c r="BM41" s="4">
        <v>3</v>
      </c>
      <c r="CQ41" s="198" t="s">
        <v>8</v>
      </c>
      <c r="CR41" s="198" t="s">
        <v>157</v>
      </c>
      <c r="CS41" s="198" t="str">
        <f t="shared" si="35"/>
        <v>Diatonic Chords</v>
      </c>
    </row>
    <row r="42" spans="3:97">
      <c r="U42" s="198"/>
      <c r="V42" s="201" t="str">
        <f t="shared" si="36"/>
        <v>E</v>
      </c>
      <c r="W42" s="198">
        <f t="shared" si="37"/>
        <v>5</v>
      </c>
      <c r="X42" s="201" t="str">
        <f t="shared" si="38"/>
        <v>E</v>
      </c>
      <c r="Y42" s="198">
        <f t="shared" si="39"/>
        <v>5</v>
      </c>
      <c r="Z42" s="198">
        <f t="shared" si="41"/>
        <v>5</v>
      </c>
      <c r="AA42" s="198">
        <f t="shared" si="42"/>
        <v>0</v>
      </c>
      <c r="AB42" s="198">
        <f t="shared" si="44"/>
        <v>1</v>
      </c>
      <c r="AC42" s="198">
        <f t="shared" si="43"/>
        <v>1</v>
      </c>
      <c r="AF42" s="198" t="s">
        <v>57</v>
      </c>
      <c r="AI42" s="198" t="str">
        <f t="shared" ref="AI42:AI53" si="48">M74</f>
        <v>I</v>
      </c>
      <c r="AJ42" s="198">
        <v>1</v>
      </c>
      <c r="AL42" s="198" t="str">
        <f>IF(AL40=CQ47,CR47,CQ47)</f>
        <v>3和音</v>
      </c>
      <c r="AM42" s="198">
        <f>AM40</f>
        <v>3</v>
      </c>
      <c r="AN42" s="198">
        <f>IF(Lang00=2,1,2)</f>
        <v>2</v>
      </c>
      <c r="AO42" s="198"/>
      <c r="AR42" s="198">
        <v>1</v>
      </c>
      <c r="AS42" s="198" t="str">
        <f>BD56</f>
        <v>I</v>
      </c>
      <c r="AT42" s="198" t="str">
        <f t="shared" ref="AT42:AW48" si="49">VLOOKUP(AY42,$BH$40:$BJ$51,$AX42)</f>
        <v>i</v>
      </c>
      <c r="AU42" s="198" t="str">
        <f t="shared" si="49"/>
        <v>iii</v>
      </c>
      <c r="AV42" s="198" t="str">
        <f t="shared" si="49"/>
        <v>v</v>
      </c>
      <c r="AW42" s="198" t="str">
        <f t="shared" si="49"/>
        <v>vii</v>
      </c>
      <c r="AX42" s="198">
        <v>2</v>
      </c>
      <c r="AY42" s="198">
        <v>1</v>
      </c>
      <c r="AZ42" s="198">
        <f t="shared" ref="AZ42:BB48" si="50">AY42+BD42-BC42</f>
        <v>5</v>
      </c>
      <c r="BA42" s="198">
        <f t="shared" si="50"/>
        <v>8</v>
      </c>
      <c r="BB42" s="198">
        <f t="shared" si="50"/>
        <v>12</v>
      </c>
      <c r="BC42" s="198">
        <f t="shared" ref="BC42:BC48" si="51">VLOOKUP(AR42,$BL$39:$BM$61,2,0)</f>
        <v>1</v>
      </c>
      <c r="BD42" s="198">
        <f t="shared" ref="BD42:BF48" si="52">VLOOKUP($AR42-1+BD$41,$BL$39:$BM$61,2,0)</f>
        <v>5</v>
      </c>
      <c r="BE42" s="198">
        <f t="shared" si="52"/>
        <v>8</v>
      </c>
      <c r="BF42" s="198">
        <f t="shared" si="52"/>
        <v>12</v>
      </c>
      <c r="BH42" s="198">
        <v>3</v>
      </c>
      <c r="BI42" s="198" t="s">
        <v>227</v>
      </c>
      <c r="BJ42" s="198" t="s">
        <v>227</v>
      </c>
      <c r="BL42" s="4" t="str">
        <f t="shared" si="45"/>
        <v/>
      </c>
      <c r="BM42" s="4">
        <v>4</v>
      </c>
      <c r="CQ42" s="198" t="s">
        <v>159</v>
      </c>
      <c r="CR42" s="198" t="s">
        <v>158</v>
      </c>
      <c r="CS42" s="198" t="str">
        <f t="shared" si="35"/>
        <v>Major Diatonic Chords</v>
      </c>
    </row>
    <row r="43" spans="3:97">
      <c r="U43" s="198" t="s">
        <v>9</v>
      </c>
      <c r="V43" s="201" t="str">
        <f>AJ6</f>
        <v>A</v>
      </c>
      <c r="W43" s="198">
        <f t="shared" si="37"/>
        <v>10</v>
      </c>
      <c r="X43" s="201" t="str">
        <f>BP25</f>
        <v>A</v>
      </c>
      <c r="Y43" s="198">
        <f t="shared" si="39"/>
        <v>10</v>
      </c>
      <c r="Z43" s="198">
        <f t="shared" si="41"/>
        <v>10</v>
      </c>
      <c r="AA43" s="198">
        <f t="shared" si="42"/>
        <v>0</v>
      </c>
      <c r="AB43" s="198">
        <f t="shared" si="44"/>
        <v>1</v>
      </c>
      <c r="AC43" s="198">
        <f t="shared" si="43"/>
        <v>1</v>
      </c>
      <c r="AF43" s="198" t="str">
        <f t="shared" ref="AF43:AF49" si="53">AG29</f>
        <v>I</v>
      </c>
      <c r="AI43" s="198" t="str">
        <f t="shared" si="48"/>
        <v>♭II</v>
      </c>
      <c r="AJ43" s="198">
        <v>2</v>
      </c>
      <c r="AL43" s="198" t="str">
        <f>IF(AL41=CQ48,CR48,CQ48)</f>
        <v>4和音</v>
      </c>
      <c r="AM43" s="198">
        <f>AM41</f>
        <v>4</v>
      </c>
      <c r="AN43" s="198">
        <f>IF(Lang00=2,1,2)</f>
        <v>2</v>
      </c>
      <c r="AO43" s="198"/>
      <c r="AR43" s="198">
        <v>2</v>
      </c>
      <c r="AS43" s="198" t="str">
        <f>BE56</f>
        <v>II</v>
      </c>
      <c r="AT43" s="198" t="str">
        <f t="shared" si="49"/>
        <v>i</v>
      </c>
      <c r="AU43" s="198" t="str">
        <f t="shared" si="49"/>
        <v>iii♭</v>
      </c>
      <c r="AV43" s="198" t="str">
        <f t="shared" si="49"/>
        <v>v</v>
      </c>
      <c r="AW43" s="198" t="str">
        <f t="shared" si="49"/>
        <v>vii♭</v>
      </c>
      <c r="AX43" s="198">
        <v>2</v>
      </c>
      <c r="AY43" s="198">
        <v>1</v>
      </c>
      <c r="AZ43" s="198">
        <f t="shared" si="50"/>
        <v>4</v>
      </c>
      <c r="BA43" s="198">
        <f t="shared" si="50"/>
        <v>8</v>
      </c>
      <c r="BB43" s="198">
        <f t="shared" si="50"/>
        <v>11</v>
      </c>
      <c r="BC43" s="198">
        <f t="shared" si="51"/>
        <v>3</v>
      </c>
      <c r="BD43" s="198">
        <f t="shared" si="52"/>
        <v>6</v>
      </c>
      <c r="BE43" s="198">
        <f t="shared" si="52"/>
        <v>10</v>
      </c>
      <c r="BF43" s="198">
        <f t="shared" si="52"/>
        <v>13</v>
      </c>
      <c r="BH43" s="198">
        <v>4</v>
      </c>
      <c r="BI43" s="198" t="s">
        <v>228</v>
      </c>
      <c r="BJ43" s="198" t="s">
        <v>228</v>
      </c>
      <c r="BL43" s="4">
        <f t="shared" si="45"/>
        <v>3</v>
      </c>
      <c r="BM43" s="4">
        <v>5</v>
      </c>
      <c r="CQ43" s="198" t="s">
        <v>160</v>
      </c>
      <c r="CR43" s="198" t="s">
        <v>154</v>
      </c>
      <c r="CS43" s="198" t="str">
        <f t="shared" si="35"/>
        <v>Natural minor Diatonic Chords</v>
      </c>
    </row>
    <row r="44" spans="3:97">
      <c r="U44" s="198"/>
      <c r="V44" s="201" t="str">
        <f>AJ7</f>
        <v>E</v>
      </c>
      <c r="W44" s="198">
        <f t="shared" si="37"/>
        <v>5</v>
      </c>
      <c r="X44" s="201" t="str">
        <f>BP26</f>
        <v>E</v>
      </c>
      <c r="Y44" s="198">
        <f t="shared" si="39"/>
        <v>5</v>
      </c>
      <c r="Z44" s="198">
        <f t="shared" si="41"/>
        <v>5</v>
      </c>
      <c r="AA44" s="198">
        <f t="shared" si="42"/>
        <v>0</v>
      </c>
      <c r="AB44" s="198">
        <f t="shared" si="44"/>
        <v>1</v>
      </c>
      <c r="AC44" s="198">
        <f t="shared" si="43"/>
        <v>1</v>
      </c>
      <c r="AF44" s="198" t="str">
        <f t="shared" si="53"/>
        <v>II</v>
      </c>
      <c r="AI44" s="198" t="str">
        <f t="shared" si="48"/>
        <v>II</v>
      </c>
      <c r="AJ44" s="198">
        <v>2</v>
      </c>
      <c r="AM44" s="198" t="str">
        <f>'Diatonic Chart'!D25</f>
        <v>Triad</v>
      </c>
      <c r="AR44" s="198">
        <v>3</v>
      </c>
      <c r="AS44" s="198" t="str">
        <f>BF56</f>
        <v>III</v>
      </c>
      <c r="AT44" s="198" t="str">
        <f t="shared" si="49"/>
        <v>i</v>
      </c>
      <c r="AU44" s="198" t="str">
        <f t="shared" si="49"/>
        <v>iii♭</v>
      </c>
      <c r="AV44" s="198" t="str">
        <f t="shared" si="49"/>
        <v>v</v>
      </c>
      <c r="AW44" s="198" t="str">
        <f t="shared" si="49"/>
        <v>vii♭</v>
      </c>
      <c r="AX44" s="198">
        <f>IF(AW53&gt;2,3,2)</f>
        <v>2</v>
      </c>
      <c r="AY44" s="198">
        <v>1</v>
      </c>
      <c r="AZ44" s="198">
        <f t="shared" si="50"/>
        <v>4</v>
      </c>
      <c r="BA44" s="198">
        <f t="shared" si="50"/>
        <v>8</v>
      </c>
      <c r="BB44" s="198">
        <f t="shared" si="50"/>
        <v>11</v>
      </c>
      <c r="BC44" s="198">
        <f t="shared" si="51"/>
        <v>5</v>
      </c>
      <c r="BD44" s="198">
        <f t="shared" si="52"/>
        <v>8</v>
      </c>
      <c r="BE44" s="198">
        <f t="shared" si="52"/>
        <v>12</v>
      </c>
      <c r="BF44" s="198">
        <f t="shared" si="52"/>
        <v>15</v>
      </c>
      <c r="BH44" s="198">
        <v>5</v>
      </c>
      <c r="BI44" s="198" t="s">
        <v>229</v>
      </c>
      <c r="BJ44" s="198" t="s">
        <v>229</v>
      </c>
      <c r="BL44" s="4">
        <f t="shared" si="45"/>
        <v>4</v>
      </c>
      <c r="BM44" s="4">
        <v>6</v>
      </c>
      <c r="BU44" s="198">
        <f>IF(OR(AA31&gt;=0,AA31&lt;AA26),0,AA31)</f>
        <v>0</v>
      </c>
      <c r="CQ44" s="198" t="s">
        <v>161</v>
      </c>
      <c r="CR44" s="198" t="s">
        <v>155</v>
      </c>
      <c r="CS44" s="198" t="str">
        <f t="shared" si="35"/>
        <v>Harmonic minor Diatonic Chords</v>
      </c>
    </row>
    <row r="45" spans="3:97">
      <c r="E45" s="4">
        <f>S7</f>
        <v>0</v>
      </c>
      <c r="F45" s="203"/>
      <c r="G45" s="203"/>
      <c r="H45" s="203"/>
      <c r="J45" s="4">
        <f>IF(AND(E45=1,OR(H10=1,AND(H10=2,H23=2))),1,0)</f>
        <v>0</v>
      </c>
      <c r="L45" s="4"/>
      <c r="M45" s="4" t="str">
        <f>IF($O$3=1,P45,O45)</f>
        <v>シャープ系</v>
      </c>
      <c r="N45" s="4"/>
      <c r="O45" s="4" t="s">
        <v>52</v>
      </c>
      <c r="P45" s="4" t="s">
        <v>53</v>
      </c>
      <c r="U45" s="198"/>
      <c r="V45" s="201" t="str">
        <f>AJ8</f>
        <v>C</v>
      </c>
      <c r="W45" s="198">
        <f t="shared" si="37"/>
        <v>1</v>
      </c>
      <c r="X45" s="201" t="str">
        <f>BP27</f>
        <v>C</v>
      </c>
      <c r="Y45" s="198">
        <f t="shared" si="39"/>
        <v>1</v>
      </c>
      <c r="Z45" s="198">
        <f t="shared" si="41"/>
        <v>1</v>
      </c>
      <c r="AA45" s="198">
        <f t="shared" si="42"/>
        <v>0</v>
      </c>
      <c r="AB45" s="198">
        <f t="shared" si="44"/>
        <v>1</v>
      </c>
      <c r="AC45" s="198">
        <f t="shared" si="43"/>
        <v>1</v>
      </c>
      <c r="AF45" s="198" t="str">
        <f t="shared" si="53"/>
        <v>III</v>
      </c>
      <c r="AI45" s="198" t="str">
        <f t="shared" si="48"/>
        <v>♭III</v>
      </c>
      <c r="AJ45" s="198">
        <v>3</v>
      </c>
      <c r="AM45" s="198">
        <f>IF(OR(AM44="",AM44=0,),3,VLOOKUP(AM44,AL40:AM43,2,0))</f>
        <v>3</v>
      </c>
      <c r="AO45" s="198" t="s">
        <v>90</v>
      </c>
      <c r="AP45" s="198" t="str">
        <f>"( "&amp;AM52&amp;" , "&amp;AN52&amp;" , "&amp;AO52&amp;" )"</f>
        <v>(  ,  ,  )</v>
      </c>
      <c r="AR45" s="198">
        <v>4</v>
      </c>
      <c r="AS45" s="198" t="str">
        <f>BG56</f>
        <v>IV</v>
      </c>
      <c r="AT45" s="198" t="str">
        <f t="shared" si="49"/>
        <v>i</v>
      </c>
      <c r="AU45" s="198" t="str">
        <f t="shared" si="49"/>
        <v>iii</v>
      </c>
      <c r="AV45" s="198" t="str">
        <f t="shared" si="49"/>
        <v>v</v>
      </c>
      <c r="AW45" s="198" t="str">
        <f t="shared" si="49"/>
        <v>vii</v>
      </c>
      <c r="AX45" s="198">
        <v>2</v>
      </c>
      <c r="AY45" s="198">
        <v>1</v>
      </c>
      <c r="AZ45" s="198">
        <f t="shared" si="50"/>
        <v>5</v>
      </c>
      <c r="BA45" s="198">
        <f t="shared" si="50"/>
        <v>8</v>
      </c>
      <c r="BB45" s="198">
        <f t="shared" si="50"/>
        <v>12</v>
      </c>
      <c r="BC45" s="198">
        <f t="shared" si="51"/>
        <v>6</v>
      </c>
      <c r="BD45" s="198">
        <f t="shared" si="52"/>
        <v>10</v>
      </c>
      <c r="BE45" s="198">
        <f t="shared" si="52"/>
        <v>13</v>
      </c>
      <c r="BF45" s="198">
        <f t="shared" si="52"/>
        <v>17</v>
      </c>
      <c r="BH45" s="198">
        <v>6</v>
      </c>
      <c r="BI45" s="198" t="s">
        <v>230</v>
      </c>
      <c r="BJ45" s="198" t="s">
        <v>230</v>
      </c>
      <c r="BL45" s="4" t="str">
        <f t="shared" si="45"/>
        <v/>
      </c>
      <c r="BM45" s="4">
        <v>7</v>
      </c>
      <c r="BU45" s="198">
        <f>IF(AND(AA31&lt;0,AA31&gt;=AA26),1,0)</f>
        <v>0</v>
      </c>
      <c r="CQ45" s="198" t="s">
        <v>162</v>
      </c>
      <c r="CR45" s="198" t="s">
        <v>156</v>
      </c>
      <c r="CS45" s="198" t="str">
        <f t="shared" si="35"/>
        <v>Melodic minor Diatonic Chords</v>
      </c>
    </row>
    <row r="46" spans="3:97">
      <c r="E46" s="4"/>
      <c r="F46" s="4"/>
      <c r="G46" s="4"/>
      <c r="H46" s="4">
        <f>IF(OR(D50="",D50=0),0,1)</f>
        <v>0</v>
      </c>
      <c r="L46" s="4">
        <v>1</v>
      </c>
      <c r="M46" s="4" t="str">
        <f t="shared" ref="M46:M68" si="54">IF($O$3=1,P46,O46)</f>
        <v>C</v>
      </c>
      <c r="N46" s="4">
        <f t="shared" ref="N46:N68" si="55">L46</f>
        <v>1</v>
      </c>
      <c r="O46" s="4" t="s">
        <v>0</v>
      </c>
      <c r="P46" s="4" t="s">
        <v>0</v>
      </c>
      <c r="U46" s="198"/>
      <c r="V46" s="201" t="str">
        <f>AJ9</f>
        <v>G</v>
      </c>
      <c r="W46" s="198">
        <f t="shared" si="37"/>
        <v>8</v>
      </c>
      <c r="X46" s="201" t="str">
        <f>BP28</f>
        <v>G</v>
      </c>
      <c r="Y46" s="198">
        <f t="shared" si="39"/>
        <v>8</v>
      </c>
      <c r="Z46" s="198">
        <f t="shared" si="41"/>
        <v>8</v>
      </c>
      <c r="AA46" s="198">
        <f t="shared" si="42"/>
        <v>0</v>
      </c>
      <c r="AB46" s="198">
        <f t="shared" si="44"/>
        <v>1</v>
      </c>
      <c r="AC46" s="198">
        <f t="shared" si="43"/>
        <v>1</v>
      </c>
      <c r="AF46" s="198" t="str">
        <f t="shared" si="53"/>
        <v>IV</v>
      </c>
      <c r="AI46" s="198" t="str">
        <f t="shared" si="48"/>
        <v>III</v>
      </c>
      <c r="AJ46" s="198">
        <v>3</v>
      </c>
      <c r="AO46" s="198" t="s">
        <v>91</v>
      </c>
      <c r="AP46" s="198" t="str">
        <f>"(  "&amp;AM52&amp;" , "&amp;AN52&amp;" , "&amp;AO52&amp;" , "&amp;AP52&amp;" )"</f>
        <v>(   ,  ,  ,  )</v>
      </c>
      <c r="AR46" s="198">
        <v>5</v>
      </c>
      <c r="AS46" s="198" t="str">
        <f>BH56</f>
        <v>V</v>
      </c>
      <c r="AT46" s="198" t="str">
        <f t="shared" si="49"/>
        <v>i</v>
      </c>
      <c r="AU46" s="198" t="str">
        <f t="shared" si="49"/>
        <v>iii</v>
      </c>
      <c r="AV46" s="198" t="str">
        <f t="shared" si="49"/>
        <v>v</v>
      </c>
      <c r="AW46" s="198" t="str">
        <f t="shared" si="49"/>
        <v>vii♭</v>
      </c>
      <c r="AX46" s="198">
        <v>2</v>
      </c>
      <c r="AY46" s="198">
        <v>1</v>
      </c>
      <c r="AZ46" s="198">
        <f t="shared" si="50"/>
        <v>5</v>
      </c>
      <c r="BA46" s="198">
        <f t="shared" si="50"/>
        <v>8</v>
      </c>
      <c r="BB46" s="198">
        <f t="shared" si="50"/>
        <v>11</v>
      </c>
      <c r="BC46" s="198">
        <f t="shared" si="51"/>
        <v>8</v>
      </c>
      <c r="BD46" s="198">
        <f t="shared" si="52"/>
        <v>12</v>
      </c>
      <c r="BE46" s="198">
        <f t="shared" si="52"/>
        <v>15</v>
      </c>
      <c r="BF46" s="198">
        <f t="shared" si="52"/>
        <v>18</v>
      </c>
      <c r="BH46" s="198">
        <v>7</v>
      </c>
      <c r="BI46" s="198" t="s">
        <v>233</v>
      </c>
      <c r="BJ46" s="198" t="s">
        <v>233</v>
      </c>
      <c r="BL46" s="4">
        <f t="shared" si="45"/>
        <v>5</v>
      </c>
      <c r="BM46" s="4">
        <v>8</v>
      </c>
      <c r="BP46" s="198"/>
      <c r="BQ46" s="198"/>
      <c r="BR46" s="198"/>
      <c r="BS46" s="198"/>
      <c r="BT46" s="198"/>
      <c r="BU46" s="198"/>
      <c r="BV46" s="198"/>
      <c r="BW46" s="198"/>
      <c r="BX46" s="198"/>
      <c r="BY46" s="198"/>
      <c r="BZ46" s="198"/>
      <c r="CA46" s="198"/>
      <c r="CB46" s="198"/>
      <c r="CC46" s="198"/>
      <c r="CQ46" s="198"/>
      <c r="CR46" s="198"/>
      <c r="CS46" s="198">
        <f t="shared" si="35"/>
        <v>0</v>
      </c>
    </row>
    <row r="47" spans="3:97">
      <c r="D47" s="200" t="str">
        <f t="shared" ref="D47:J47" si="56">IF($H$46=1,D50,IF($J$45=1,D58,D55))</f>
        <v>C</v>
      </c>
      <c r="E47" s="200" t="str">
        <f t="shared" si="56"/>
        <v>D</v>
      </c>
      <c r="F47" s="200" t="str">
        <f t="shared" si="56"/>
        <v>E</v>
      </c>
      <c r="G47" s="200" t="str">
        <f t="shared" si="56"/>
        <v>F</v>
      </c>
      <c r="H47" s="200" t="str">
        <f t="shared" si="56"/>
        <v>G</v>
      </c>
      <c r="I47" s="200" t="str">
        <f t="shared" si="56"/>
        <v>A</v>
      </c>
      <c r="J47" s="200" t="str">
        <f t="shared" si="56"/>
        <v>B</v>
      </c>
      <c r="L47" s="4">
        <v>2</v>
      </c>
      <c r="M47" s="4" t="str">
        <f t="shared" si="54"/>
        <v>C♯</v>
      </c>
      <c r="N47" s="4">
        <f t="shared" si="55"/>
        <v>2</v>
      </c>
      <c r="O47" s="198" t="s">
        <v>33</v>
      </c>
      <c r="P47" s="198" t="str">
        <f>IF(AND(OR(H23=3,H23=4),key1No=3),O47,"D♭")</f>
        <v>D♭</v>
      </c>
      <c r="U47" s="198"/>
      <c r="V47" s="198"/>
      <c r="W47" s="198"/>
      <c r="X47" s="198"/>
      <c r="Y47" s="198"/>
      <c r="Z47" s="198"/>
      <c r="AA47" s="198">
        <f>IF(COUNTIF(AA37:AA46,0)+COUNTIF(AA37:AA46,100)=10,0,(SUM(AA37:AA46)-(COUNTIF(AA37:AA46,100)*100))/(10-COUNTIF(AA37:AA46,0)-COUNTIF(AA37:AA46,100)))</f>
        <v>0</v>
      </c>
      <c r="AB47" s="198"/>
      <c r="AC47" s="198"/>
      <c r="AF47" s="198" t="str">
        <f t="shared" si="53"/>
        <v>V</v>
      </c>
      <c r="AI47" s="198" t="str">
        <f t="shared" si="48"/>
        <v>IV</v>
      </c>
      <c r="AJ47" s="198">
        <v>4</v>
      </c>
      <c r="AM47" s="198" t="str">
        <f>IF(OR(AM52="",AM52=0),"",VLOOKUP(AJ41,AF29:AN35,AM45+5,0))</f>
        <v/>
      </c>
      <c r="AO47" s="198"/>
      <c r="AP47" s="198" t="str">
        <f>IF(AM45=4,AP46,AP45)</f>
        <v>(  ,  ,  )</v>
      </c>
      <c r="AR47" s="198">
        <v>6</v>
      </c>
      <c r="AS47" s="198" t="str">
        <f>BI56</f>
        <v>VI</v>
      </c>
      <c r="AT47" s="198" t="str">
        <f t="shared" si="49"/>
        <v>i</v>
      </c>
      <c r="AU47" s="198" t="str">
        <f t="shared" si="49"/>
        <v>iii♭</v>
      </c>
      <c r="AV47" s="198" t="str">
        <f t="shared" si="49"/>
        <v>v</v>
      </c>
      <c r="AW47" s="198" t="str">
        <f t="shared" si="49"/>
        <v>vii♭</v>
      </c>
      <c r="AX47" s="198">
        <v>2</v>
      </c>
      <c r="AY47" s="198">
        <v>1</v>
      </c>
      <c r="AZ47" s="198">
        <f t="shared" si="50"/>
        <v>4</v>
      </c>
      <c r="BA47" s="198">
        <f t="shared" si="50"/>
        <v>8</v>
      </c>
      <c r="BB47" s="198">
        <f t="shared" si="50"/>
        <v>11</v>
      </c>
      <c r="BC47" s="198">
        <f t="shared" si="51"/>
        <v>10</v>
      </c>
      <c r="BD47" s="198">
        <f t="shared" si="52"/>
        <v>13</v>
      </c>
      <c r="BE47" s="198">
        <f t="shared" si="52"/>
        <v>17</v>
      </c>
      <c r="BF47" s="198">
        <f t="shared" si="52"/>
        <v>20</v>
      </c>
      <c r="BH47" s="198">
        <v>8</v>
      </c>
      <c r="BI47" s="198" t="s">
        <v>231</v>
      </c>
      <c r="BJ47" s="198" t="s">
        <v>231</v>
      </c>
      <c r="BL47" s="4" t="str">
        <f t="shared" si="45"/>
        <v/>
      </c>
      <c r="BM47" s="4">
        <v>9</v>
      </c>
      <c r="BP47" s="198"/>
      <c r="BQ47" s="198"/>
      <c r="BR47" s="198"/>
      <c r="BS47" s="198"/>
      <c r="BT47" s="198"/>
      <c r="BU47" s="198"/>
      <c r="BV47" s="198"/>
      <c r="BW47" s="198"/>
      <c r="BX47" s="198"/>
      <c r="BY47" s="198"/>
      <c r="BZ47" s="198"/>
      <c r="CA47" s="198"/>
      <c r="CB47" s="198"/>
      <c r="CC47" s="198"/>
      <c r="CQ47" s="198" t="s">
        <v>119</v>
      </c>
      <c r="CR47" s="198" t="s">
        <v>130</v>
      </c>
      <c r="CS47" s="198" t="str">
        <f t="shared" si="35"/>
        <v>Triad</v>
      </c>
    </row>
    <row r="48" spans="3:97">
      <c r="L48" s="4">
        <v>3</v>
      </c>
      <c r="M48" s="4" t="str">
        <f t="shared" si="54"/>
        <v>D</v>
      </c>
      <c r="N48" s="4">
        <f t="shared" si="55"/>
        <v>3</v>
      </c>
      <c r="O48" s="198" t="s">
        <v>1</v>
      </c>
      <c r="P48" s="4" t="s">
        <v>1</v>
      </c>
      <c r="U48" s="198"/>
      <c r="V48" s="198"/>
      <c r="W48" s="198"/>
      <c r="X48" s="198"/>
      <c r="Y48" s="198"/>
      <c r="Z48" s="198"/>
      <c r="AA48" s="198"/>
      <c r="AB48" s="198">
        <f>IF(SUM(AB37:AB46)=10,1,0)</f>
        <v>1</v>
      </c>
      <c r="AC48" s="198">
        <f>IF(SUM(AC37:AC46)=10,1,0)</f>
        <v>1</v>
      </c>
      <c r="AF48" s="198" t="str">
        <f t="shared" si="53"/>
        <v>VI</v>
      </c>
      <c r="AI48" s="198" t="str">
        <f t="shared" si="48"/>
        <v>♭V</v>
      </c>
      <c r="AJ48" s="198">
        <v>5</v>
      </c>
      <c r="AR48" s="198">
        <v>7</v>
      </c>
      <c r="AS48" s="198" t="str">
        <f>BJ56</f>
        <v>VII</v>
      </c>
      <c r="AT48" s="198" t="str">
        <f t="shared" si="49"/>
        <v>i</v>
      </c>
      <c r="AU48" s="198" t="str">
        <f t="shared" si="49"/>
        <v>iii♭</v>
      </c>
      <c r="AV48" s="198" t="str">
        <f t="shared" si="49"/>
        <v>v♭</v>
      </c>
      <c r="AW48" s="198" t="str">
        <f t="shared" si="49"/>
        <v>vii♭</v>
      </c>
      <c r="AX48" s="198">
        <v>2</v>
      </c>
      <c r="AY48" s="198">
        <v>1</v>
      </c>
      <c r="AZ48" s="198">
        <f t="shared" si="50"/>
        <v>4</v>
      </c>
      <c r="BA48" s="198">
        <f t="shared" si="50"/>
        <v>7</v>
      </c>
      <c r="BB48" s="198">
        <f t="shared" si="50"/>
        <v>11</v>
      </c>
      <c r="BC48" s="198">
        <f t="shared" si="51"/>
        <v>12</v>
      </c>
      <c r="BD48" s="198">
        <f t="shared" si="52"/>
        <v>15</v>
      </c>
      <c r="BE48" s="198">
        <f t="shared" si="52"/>
        <v>18</v>
      </c>
      <c r="BF48" s="198">
        <f t="shared" si="52"/>
        <v>22</v>
      </c>
      <c r="BH48" s="198">
        <v>9</v>
      </c>
      <c r="BI48" s="198" t="s">
        <v>235</v>
      </c>
      <c r="BJ48" s="198" t="s">
        <v>232</v>
      </c>
      <c r="BL48" s="4">
        <f t="shared" si="45"/>
        <v>6</v>
      </c>
      <c r="BM48" s="4">
        <v>10</v>
      </c>
      <c r="BP48" s="198" t="s">
        <v>10</v>
      </c>
      <c r="BQ48" s="201" t="str">
        <f t="shared" ref="BQ48:BQ53" si="57">AI6</f>
        <v>E</v>
      </c>
      <c r="BR48" s="198">
        <f t="shared" ref="BR48:BR57" si="58">VLOOKUP(BQ48,$AF$5:$AG$17,2,0)</f>
        <v>5</v>
      </c>
      <c r="BS48" s="198">
        <f t="shared" ref="BS48:BS57" si="59">BR48+$BU$44</f>
        <v>5</v>
      </c>
      <c r="BT48" s="198">
        <f>IF(BS48&lt;=0,BS48+12,BS48)</f>
        <v>5</v>
      </c>
      <c r="BU48" s="201" t="str">
        <f t="shared" ref="BU48:BU57" si="60">VLOOKUP(BT48,$BP$59:$BQ$70,2,0)</f>
        <v>E</v>
      </c>
      <c r="BV48" s="201" t="str">
        <f>'Diatonic Chart'!Q30</f>
        <v>E</v>
      </c>
      <c r="BW48" s="201">
        <f t="shared" ref="BW48:BW57" si="61">IF(OR(BV48=$AF$5,BV48="",BV48=0),"",VLOOKUP(BV48,$BQ$59:$BR$70,2,0))</f>
        <v>5</v>
      </c>
      <c r="BX48" s="198">
        <f t="shared" ref="BX48:BX57" si="62">IF(OR(BV48=$AF$5,BV48="",BV48=0),0,1)</f>
        <v>1</v>
      </c>
      <c r="BY48" s="201" t="str">
        <f t="shared" ref="BY48:BY57" si="63">IF(BX48=0,$AF$5,IF($BU$45=1,BU48,BV48))</f>
        <v>E</v>
      </c>
      <c r="BZ48" s="198">
        <f t="shared" ref="BZ48:BZ57" si="64">IF(BW48="","",BW48-BR48)</f>
        <v>0</v>
      </c>
      <c r="CA48" s="198">
        <f t="shared" ref="CA48:CA57" si="65">IF(BW48="","",IF(BZ48&lt;-6,BZ48+12,IF(BZ48&gt;5,BZ48-12,BZ48)))</f>
        <v>0</v>
      </c>
      <c r="CB48" s="198" t="str">
        <f>IF(OR(CA48="",CA48=0),"",IF(CA48&lt;0,CA48*(-1),CA48))</f>
        <v/>
      </c>
      <c r="CC48" s="198" t="str">
        <f>IF(CB48="","",IF(CA48&lt;0,"(-"&amp;CB48&amp;"f)","(+"&amp;CB48&amp;"f)"))</f>
        <v/>
      </c>
      <c r="CQ48" s="198" t="s">
        <v>126</v>
      </c>
      <c r="CR48" s="198" t="s">
        <v>91</v>
      </c>
      <c r="CS48" s="198" t="str">
        <f t="shared" si="35"/>
        <v>7th</v>
      </c>
    </row>
    <row r="49" spans="3:97">
      <c r="L49" s="4">
        <v>4</v>
      </c>
      <c r="M49" s="4" t="str">
        <f>IF($O$3=1,P49,O49)</f>
        <v>D♯</v>
      </c>
      <c r="N49" s="4">
        <f t="shared" si="55"/>
        <v>4</v>
      </c>
      <c r="O49" s="198" t="s">
        <v>36</v>
      </c>
      <c r="P49" s="4" t="s">
        <v>51</v>
      </c>
      <c r="AF49" s="198" t="str">
        <f t="shared" si="53"/>
        <v>VII</v>
      </c>
      <c r="AI49" s="198" t="str">
        <f t="shared" si="48"/>
        <v>V</v>
      </c>
      <c r="AJ49" s="198">
        <v>5</v>
      </c>
      <c r="AM49" s="198" t="s">
        <v>395</v>
      </c>
      <c r="AN49" s="198" t="s">
        <v>229</v>
      </c>
      <c r="AO49" s="198" t="s">
        <v>231</v>
      </c>
      <c r="AP49" s="198" t="s">
        <v>237</v>
      </c>
      <c r="BH49" s="198">
        <v>10</v>
      </c>
      <c r="BI49" s="198" t="s">
        <v>234</v>
      </c>
      <c r="BJ49" s="198" t="s">
        <v>234</v>
      </c>
      <c r="BL49" s="4" t="str">
        <f t="shared" si="45"/>
        <v/>
      </c>
      <c r="BM49" s="4">
        <v>11</v>
      </c>
      <c r="BP49" s="198"/>
      <c r="BQ49" s="201" t="str">
        <f t="shared" si="57"/>
        <v>B</v>
      </c>
      <c r="BR49" s="198">
        <f t="shared" si="58"/>
        <v>12</v>
      </c>
      <c r="BS49" s="198">
        <f t="shared" si="59"/>
        <v>12</v>
      </c>
      <c r="BT49" s="198">
        <f t="shared" ref="BT49:BT57" si="66">IF(BS49&lt;=0,BS49+12,BS49)</f>
        <v>12</v>
      </c>
      <c r="BU49" s="201" t="str">
        <f t="shared" si="60"/>
        <v>B</v>
      </c>
      <c r="BV49" s="201" t="str">
        <f>'Diatonic Chart'!Q31</f>
        <v>B</v>
      </c>
      <c r="BW49" s="201">
        <f t="shared" si="61"/>
        <v>12</v>
      </c>
      <c r="BX49" s="198">
        <f t="shared" si="62"/>
        <v>1</v>
      </c>
      <c r="BY49" s="201" t="str">
        <f t="shared" si="63"/>
        <v>B</v>
      </c>
      <c r="BZ49" s="198">
        <f t="shared" si="64"/>
        <v>0</v>
      </c>
      <c r="CA49" s="198">
        <f t="shared" si="65"/>
        <v>0</v>
      </c>
      <c r="CB49" s="198" t="str">
        <f t="shared" ref="CB49:CB57" si="67">IF(OR(CA49="",CA49=0),"",IF(CA49&lt;0,CA49*(-1),CA49))</f>
        <v/>
      </c>
      <c r="CC49" s="198" t="str">
        <f t="shared" ref="CC49:CC57" si="68">IF(CB49="","",IF(CA49&lt;0,"(-"&amp;CB49&amp;"f)","(+"&amp;CB49&amp;"f)"))</f>
        <v/>
      </c>
      <c r="CQ49" s="198"/>
      <c r="CR49" s="198"/>
      <c r="CS49" s="198">
        <f t="shared" si="35"/>
        <v>0</v>
      </c>
    </row>
    <row r="50" spans="3:97">
      <c r="D50" s="4" t="str">
        <f>IF(AM52="","",AM52)</f>
        <v/>
      </c>
      <c r="E50" s="4" t="str">
        <f>IF(AN52="","",AN52)</f>
        <v/>
      </c>
      <c r="F50" s="4" t="str">
        <f>IF(AO52="","",AO52)</f>
        <v/>
      </c>
      <c r="G50" s="4" t="str">
        <f>IF(AP52="","",AP52)</f>
        <v/>
      </c>
      <c r="H50" s="4" t="str">
        <f>""</f>
        <v/>
      </c>
      <c r="I50" s="4" t="str">
        <f>""</f>
        <v/>
      </c>
      <c r="J50" s="4" t="str">
        <f>""</f>
        <v/>
      </c>
      <c r="L50" s="4">
        <v>5</v>
      </c>
      <c r="M50" s="4" t="str">
        <f t="shared" si="54"/>
        <v>E</v>
      </c>
      <c r="N50" s="4">
        <f t="shared" si="55"/>
        <v>5</v>
      </c>
      <c r="O50" s="198" t="s">
        <v>2</v>
      </c>
      <c r="P50" s="4" t="s">
        <v>2</v>
      </c>
      <c r="AI50" s="198" t="str">
        <f t="shared" si="48"/>
        <v>♭VI</v>
      </c>
      <c r="AJ50" s="198">
        <v>6</v>
      </c>
      <c r="AM50" s="198" t="s">
        <v>83</v>
      </c>
      <c r="AN50" s="198" t="s">
        <v>84</v>
      </c>
      <c r="AO50" s="198" t="s">
        <v>85</v>
      </c>
      <c r="AP50" s="198" t="s">
        <v>86</v>
      </c>
      <c r="BH50" s="198">
        <v>11</v>
      </c>
      <c r="BI50" s="198" t="s">
        <v>236</v>
      </c>
      <c r="BJ50" s="198" t="s">
        <v>236</v>
      </c>
      <c r="BL50" s="4">
        <f t="shared" si="45"/>
        <v>7</v>
      </c>
      <c r="BM50" s="4">
        <v>12</v>
      </c>
      <c r="BP50" s="198"/>
      <c r="BQ50" s="201" t="str">
        <f t="shared" si="57"/>
        <v>G</v>
      </c>
      <c r="BR50" s="198">
        <f t="shared" si="58"/>
        <v>8</v>
      </c>
      <c r="BS50" s="198">
        <f t="shared" si="59"/>
        <v>8</v>
      </c>
      <c r="BT50" s="198">
        <f t="shared" si="66"/>
        <v>8</v>
      </c>
      <c r="BU50" s="201" t="str">
        <f t="shared" si="60"/>
        <v>G</v>
      </c>
      <c r="BV50" s="201" t="str">
        <f>'Diatonic Chart'!Q32</f>
        <v>G</v>
      </c>
      <c r="BW50" s="201">
        <f t="shared" si="61"/>
        <v>8</v>
      </c>
      <c r="BX50" s="198">
        <f t="shared" si="62"/>
        <v>1</v>
      </c>
      <c r="BY50" s="201" t="str">
        <f t="shared" si="63"/>
        <v>G</v>
      </c>
      <c r="BZ50" s="198">
        <f t="shared" si="64"/>
        <v>0</v>
      </c>
      <c r="CA50" s="198">
        <f t="shared" si="65"/>
        <v>0</v>
      </c>
      <c r="CB50" s="198" t="str">
        <f t="shared" si="67"/>
        <v/>
      </c>
      <c r="CC50" s="198" t="str">
        <f t="shared" si="68"/>
        <v/>
      </c>
      <c r="CQ50" s="198" t="s">
        <v>182</v>
      </c>
      <c r="CR50" s="198" t="s">
        <v>181</v>
      </c>
      <c r="CS50" s="198" t="str">
        <f t="shared" si="35"/>
        <v>User settings</v>
      </c>
    </row>
    <row r="51" spans="3:97">
      <c r="L51" s="4">
        <v>6</v>
      </c>
      <c r="M51" s="4" t="str">
        <f t="shared" si="54"/>
        <v>F</v>
      </c>
      <c r="N51" s="4">
        <f t="shared" si="55"/>
        <v>6</v>
      </c>
      <c r="O51" s="198" t="s">
        <v>3</v>
      </c>
      <c r="P51" s="4" t="s">
        <v>3</v>
      </c>
      <c r="AI51" s="198" t="str">
        <f t="shared" si="48"/>
        <v>VI</v>
      </c>
      <c r="AJ51" s="198">
        <v>6</v>
      </c>
      <c r="AM51" s="198">
        <v>3</v>
      </c>
      <c r="AN51" s="198">
        <v>4</v>
      </c>
      <c r="AO51" s="198">
        <v>5</v>
      </c>
      <c r="AP51" s="198">
        <v>6</v>
      </c>
      <c r="BH51" s="198">
        <v>12</v>
      </c>
      <c r="BI51" s="198" t="s">
        <v>237</v>
      </c>
      <c r="BJ51" s="198" t="s">
        <v>237</v>
      </c>
      <c r="BL51" s="4">
        <f t="shared" ref="BL51:BL61" si="69">IF(BL39="","",BL39+7)</f>
        <v>8</v>
      </c>
      <c r="BM51" s="4">
        <v>13</v>
      </c>
      <c r="BP51" s="198"/>
      <c r="BQ51" s="201" t="str">
        <f t="shared" si="57"/>
        <v>D</v>
      </c>
      <c r="BR51" s="198">
        <f t="shared" si="58"/>
        <v>3</v>
      </c>
      <c r="BS51" s="198">
        <f t="shared" si="59"/>
        <v>3</v>
      </c>
      <c r="BT51" s="198">
        <f t="shared" si="66"/>
        <v>3</v>
      </c>
      <c r="BU51" s="201" t="str">
        <f t="shared" si="60"/>
        <v>D</v>
      </c>
      <c r="BV51" s="201" t="str">
        <f>'Diatonic Chart'!Q33</f>
        <v>D</v>
      </c>
      <c r="BW51" s="201">
        <f t="shared" si="61"/>
        <v>3</v>
      </c>
      <c r="BX51" s="198">
        <f t="shared" si="62"/>
        <v>1</v>
      </c>
      <c r="BY51" s="201" t="str">
        <f t="shared" si="63"/>
        <v>D</v>
      </c>
      <c r="BZ51" s="198">
        <f t="shared" si="64"/>
        <v>0</v>
      </c>
      <c r="CA51" s="198">
        <f t="shared" si="65"/>
        <v>0</v>
      </c>
      <c r="CB51" s="198" t="str">
        <f t="shared" si="67"/>
        <v/>
      </c>
      <c r="CC51" s="198" t="str">
        <f t="shared" si="68"/>
        <v/>
      </c>
      <c r="CQ51" s="198" t="s">
        <v>253</v>
      </c>
      <c r="CR51" s="198" t="s">
        <v>174</v>
      </c>
      <c r="CS51" s="198" t="str">
        <f t="shared" si="35"/>
        <v>1st(E):</v>
      </c>
    </row>
    <row r="52" spans="3:97">
      <c r="L52" s="4">
        <v>7</v>
      </c>
      <c r="M52" s="4" t="str">
        <f t="shared" si="54"/>
        <v>F♯</v>
      </c>
      <c r="N52" s="4">
        <f t="shared" si="55"/>
        <v>7</v>
      </c>
      <c r="O52" s="198" t="s">
        <v>37</v>
      </c>
      <c r="P52" s="198" t="str">
        <f>IF(AND(OR(H23=3,H23=4),key1No=8),O52,"G♭")</f>
        <v>G♭</v>
      </c>
      <c r="AI52" s="198" t="str">
        <f t="shared" si="48"/>
        <v>♭VII</v>
      </c>
      <c r="AJ52" s="198">
        <v>7</v>
      </c>
      <c r="AM52" s="198" t="str">
        <f>IF($AJ$41=0,"",VLOOKUP($AJ$41,$AF$29:$AK$35,AM51,0))</f>
        <v/>
      </c>
      <c r="AN52" s="198" t="str">
        <f>IF($AJ$41=0,"",VLOOKUP($AJ$41,$AF$29:$AK$35,AN51,0))</f>
        <v/>
      </c>
      <c r="AO52" s="198" t="str">
        <f>IF($AJ$41=0,"",VLOOKUP($AJ$41,$AF$29:$AK$35,AO51,0))</f>
        <v/>
      </c>
      <c r="AP52" s="198" t="str">
        <f>IF(AM45=3,"",IF($AJ$41=0,"",VLOOKUP($AJ$41,$AF$29:$AK$35,AP51,0)))</f>
        <v/>
      </c>
      <c r="BL52" s="4" t="str">
        <f t="shared" si="69"/>
        <v/>
      </c>
      <c r="BM52" s="4">
        <v>14</v>
      </c>
      <c r="BP52" s="198"/>
      <c r="BQ52" s="201" t="str">
        <f t="shared" si="57"/>
        <v>A</v>
      </c>
      <c r="BR52" s="198">
        <f t="shared" si="58"/>
        <v>10</v>
      </c>
      <c r="BS52" s="198">
        <f t="shared" si="59"/>
        <v>10</v>
      </c>
      <c r="BT52" s="198">
        <f t="shared" si="66"/>
        <v>10</v>
      </c>
      <c r="BU52" s="201" t="str">
        <f t="shared" si="60"/>
        <v>A</v>
      </c>
      <c r="BV52" s="201" t="str">
        <f>'Diatonic Chart'!Q34</f>
        <v>A</v>
      </c>
      <c r="BW52" s="201">
        <f t="shared" si="61"/>
        <v>10</v>
      </c>
      <c r="BX52" s="198">
        <f t="shared" si="62"/>
        <v>1</v>
      </c>
      <c r="BY52" s="201" t="str">
        <f t="shared" si="63"/>
        <v>A</v>
      </c>
      <c r="BZ52" s="198">
        <f t="shared" si="64"/>
        <v>0</v>
      </c>
      <c r="CA52" s="198">
        <f t="shared" si="65"/>
        <v>0</v>
      </c>
      <c r="CB52" s="198" t="str">
        <f t="shared" si="67"/>
        <v/>
      </c>
      <c r="CC52" s="198" t="str">
        <f t="shared" si="68"/>
        <v/>
      </c>
      <c r="CQ52" s="198" t="s">
        <v>254</v>
      </c>
      <c r="CR52" s="198" t="s">
        <v>169</v>
      </c>
      <c r="CS52" s="198" t="str">
        <f t="shared" si="35"/>
        <v>2nd(B):</v>
      </c>
    </row>
    <row r="53" spans="3:97">
      <c r="D53" s="202">
        <v>1</v>
      </c>
      <c r="E53" s="202">
        <v>2</v>
      </c>
      <c r="F53" s="202">
        <v>3</v>
      </c>
      <c r="G53" s="202">
        <v>4</v>
      </c>
      <c r="H53" s="202">
        <v>5</v>
      </c>
      <c r="I53" s="202">
        <v>6</v>
      </c>
      <c r="J53" s="202">
        <v>7</v>
      </c>
      <c r="L53" s="4">
        <v>8</v>
      </c>
      <c r="M53" s="4" t="str">
        <f t="shared" si="54"/>
        <v>G</v>
      </c>
      <c r="N53" s="4">
        <f t="shared" si="55"/>
        <v>8</v>
      </c>
      <c r="O53" s="198" t="s">
        <v>4</v>
      </c>
      <c r="P53" s="4" t="s">
        <v>4</v>
      </c>
      <c r="X53" s="198">
        <f>IF(AND(X55=1,X57=1),1,0)</f>
        <v>0</v>
      </c>
      <c r="AI53" s="198" t="str">
        <f t="shared" si="48"/>
        <v>VII</v>
      </c>
      <c r="AJ53" s="198">
        <v>7</v>
      </c>
      <c r="AS53" s="198">
        <f>IF(OR(H9="",H9=0),0,VLOOKUP(H9,G4:H7,2,0))</f>
        <v>1</v>
      </c>
      <c r="AU53" s="198">
        <f>IF(H21=0,2,H21)</f>
        <v>2</v>
      </c>
      <c r="AW53" s="198">
        <f>IF(AND(AS53=0,H21&gt;1),AU53,IF(OR(AS53=0,AS53=1),1,AU53))</f>
        <v>1</v>
      </c>
      <c r="BL53" s="4">
        <f t="shared" si="69"/>
        <v>9</v>
      </c>
      <c r="BM53" s="4">
        <v>15</v>
      </c>
      <c r="BP53" s="198"/>
      <c r="BQ53" s="201" t="str">
        <f t="shared" si="57"/>
        <v>E</v>
      </c>
      <c r="BR53" s="198">
        <f t="shared" si="58"/>
        <v>5</v>
      </c>
      <c r="BS53" s="198">
        <f t="shared" si="59"/>
        <v>5</v>
      </c>
      <c r="BT53" s="198">
        <f t="shared" si="66"/>
        <v>5</v>
      </c>
      <c r="BU53" s="201" t="str">
        <f t="shared" si="60"/>
        <v>E</v>
      </c>
      <c r="BV53" s="201" t="str">
        <f>'Diatonic Chart'!Q35</f>
        <v>E</v>
      </c>
      <c r="BW53" s="201">
        <f t="shared" si="61"/>
        <v>5</v>
      </c>
      <c r="BX53" s="198">
        <f t="shared" si="62"/>
        <v>1</v>
      </c>
      <c r="BY53" s="201" t="str">
        <f t="shared" si="63"/>
        <v>E</v>
      </c>
      <c r="BZ53" s="198">
        <f t="shared" si="64"/>
        <v>0</v>
      </c>
      <c r="CA53" s="198">
        <f t="shared" si="65"/>
        <v>0</v>
      </c>
      <c r="CB53" s="198" t="str">
        <f t="shared" si="67"/>
        <v/>
      </c>
      <c r="CC53" s="198" t="str">
        <f t="shared" si="68"/>
        <v/>
      </c>
      <c r="CQ53" s="198" t="s">
        <v>255</v>
      </c>
      <c r="CR53" s="198" t="s">
        <v>170</v>
      </c>
      <c r="CS53" s="198" t="str">
        <f t="shared" si="35"/>
        <v>3rd(G):</v>
      </c>
    </row>
    <row r="54" spans="3:97">
      <c r="D54" s="200" t="str">
        <f t="shared" ref="D54:J54" si="70">VLOOKUP($H$68,$C$71:$J$85,D53+1,0)</f>
        <v>I</v>
      </c>
      <c r="E54" s="200" t="str">
        <f t="shared" si="70"/>
        <v>II</v>
      </c>
      <c r="F54" s="200" t="str">
        <f t="shared" si="70"/>
        <v>III</v>
      </c>
      <c r="G54" s="200" t="str">
        <f t="shared" si="70"/>
        <v>IV</v>
      </c>
      <c r="H54" s="200" t="str">
        <f t="shared" si="70"/>
        <v>V</v>
      </c>
      <c r="I54" s="200" t="str">
        <f t="shared" si="70"/>
        <v>VI</v>
      </c>
      <c r="J54" s="200" t="str">
        <f t="shared" si="70"/>
        <v>VII</v>
      </c>
      <c r="L54" s="4">
        <v>9</v>
      </c>
      <c r="M54" s="4" t="str">
        <f t="shared" si="54"/>
        <v>G♯</v>
      </c>
      <c r="N54" s="4">
        <f t="shared" si="55"/>
        <v>9</v>
      </c>
      <c r="O54" s="4" t="s">
        <v>38</v>
      </c>
      <c r="P54" s="4" t="s">
        <v>34</v>
      </c>
      <c r="X54" s="198"/>
      <c r="AF54" s="198" t="s">
        <v>288</v>
      </c>
      <c r="AG54" s="198">
        <f>IF(AJ41&lt;&gt;0,1,0)</f>
        <v>0</v>
      </c>
      <c r="BL54" s="4" t="str">
        <f t="shared" si="69"/>
        <v/>
      </c>
      <c r="BM54" s="4">
        <v>16</v>
      </c>
      <c r="BP54" s="198" t="s">
        <v>9</v>
      </c>
      <c r="BQ54" s="201" t="str">
        <f>AJ6</f>
        <v>A</v>
      </c>
      <c r="BR54" s="198">
        <f t="shared" si="58"/>
        <v>10</v>
      </c>
      <c r="BS54" s="198">
        <f t="shared" si="59"/>
        <v>10</v>
      </c>
      <c r="BT54" s="198">
        <f t="shared" si="66"/>
        <v>10</v>
      </c>
      <c r="BU54" s="201" t="str">
        <f t="shared" si="60"/>
        <v>A</v>
      </c>
      <c r="BV54" s="201" t="str">
        <f>'Diatonic Chart'!T30</f>
        <v>A</v>
      </c>
      <c r="BW54" s="201">
        <f t="shared" si="61"/>
        <v>10</v>
      </c>
      <c r="BX54" s="198">
        <f t="shared" si="62"/>
        <v>1</v>
      </c>
      <c r="BY54" s="201" t="str">
        <f t="shared" si="63"/>
        <v>A</v>
      </c>
      <c r="BZ54" s="198">
        <f t="shared" si="64"/>
        <v>0</v>
      </c>
      <c r="CA54" s="198">
        <f t="shared" si="65"/>
        <v>0</v>
      </c>
      <c r="CB54" s="198" t="str">
        <f t="shared" si="67"/>
        <v/>
      </c>
      <c r="CC54" s="198" t="str">
        <f t="shared" si="68"/>
        <v/>
      </c>
      <c r="CQ54" s="198" t="s">
        <v>256</v>
      </c>
      <c r="CR54" s="198" t="s">
        <v>171</v>
      </c>
      <c r="CS54" s="198" t="str">
        <f t="shared" si="35"/>
        <v>4th(D):</v>
      </c>
    </row>
    <row r="55" spans="3:97">
      <c r="C55" s="196" t="s">
        <v>62</v>
      </c>
      <c r="D55" s="200" t="str">
        <f>VLOOKUP($D$68,$C$71:$J$85,D53+1,0)</f>
        <v>C</v>
      </c>
      <c r="E55" s="200" t="str">
        <f t="shared" ref="E55:J55" si="71">VLOOKUP($D$68,$C$71:$J$85,E53+1,0)</f>
        <v>D</v>
      </c>
      <c r="F55" s="200" t="str">
        <f t="shared" si="71"/>
        <v>E</v>
      </c>
      <c r="G55" s="200" t="str">
        <f t="shared" si="71"/>
        <v>F</v>
      </c>
      <c r="H55" s="200" t="str">
        <f t="shared" si="71"/>
        <v>G</v>
      </c>
      <c r="I55" s="200" t="str">
        <f t="shared" si="71"/>
        <v>A</v>
      </c>
      <c r="J55" s="200" t="str">
        <f t="shared" si="71"/>
        <v>B</v>
      </c>
      <c r="L55" s="4">
        <v>10</v>
      </c>
      <c r="M55" s="4" t="str">
        <f t="shared" si="54"/>
        <v>A</v>
      </c>
      <c r="N55" s="4">
        <f t="shared" si="55"/>
        <v>10</v>
      </c>
      <c r="O55" s="4" t="s">
        <v>5</v>
      </c>
      <c r="P55" s="4" t="s">
        <v>5</v>
      </c>
      <c r="X55" s="198">
        <f>IF(AC48=1,1,0)</f>
        <v>1</v>
      </c>
      <c r="AR55" s="198"/>
      <c r="AS55" s="198"/>
      <c r="AT55" s="201">
        <v>1</v>
      </c>
      <c r="AU55" s="201">
        <v>2</v>
      </c>
      <c r="AV55" s="201">
        <v>3</v>
      </c>
      <c r="AW55" s="201">
        <v>4</v>
      </c>
      <c r="AX55" s="201">
        <v>5</v>
      </c>
      <c r="AY55" s="201">
        <v>6</v>
      </c>
      <c r="AZ55" s="201">
        <v>7</v>
      </c>
      <c r="BB55" s="198"/>
      <c r="BC55" s="198"/>
      <c r="BD55" s="201">
        <v>1</v>
      </c>
      <c r="BE55" s="201">
        <v>2</v>
      </c>
      <c r="BF55" s="201">
        <v>3</v>
      </c>
      <c r="BG55" s="201">
        <v>4</v>
      </c>
      <c r="BH55" s="201">
        <v>5</v>
      </c>
      <c r="BI55" s="201">
        <v>6</v>
      </c>
      <c r="BJ55" s="201">
        <v>7</v>
      </c>
      <c r="BL55" s="4">
        <f t="shared" si="69"/>
        <v>10</v>
      </c>
      <c r="BM55" s="4">
        <v>17</v>
      </c>
      <c r="BP55" s="198"/>
      <c r="BQ55" s="201" t="str">
        <f>AJ7</f>
        <v>E</v>
      </c>
      <c r="BR55" s="198">
        <f t="shared" si="58"/>
        <v>5</v>
      </c>
      <c r="BS55" s="198">
        <f t="shared" si="59"/>
        <v>5</v>
      </c>
      <c r="BT55" s="198">
        <f t="shared" si="66"/>
        <v>5</v>
      </c>
      <c r="BU55" s="201" t="str">
        <f t="shared" si="60"/>
        <v>E</v>
      </c>
      <c r="BV55" s="201" t="str">
        <f>'Diatonic Chart'!T31</f>
        <v>E</v>
      </c>
      <c r="BW55" s="201">
        <f t="shared" si="61"/>
        <v>5</v>
      </c>
      <c r="BX55" s="198">
        <f t="shared" si="62"/>
        <v>1</v>
      </c>
      <c r="BY55" s="201" t="str">
        <f t="shared" si="63"/>
        <v>E</v>
      </c>
      <c r="BZ55" s="198">
        <f t="shared" si="64"/>
        <v>0</v>
      </c>
      <c r="CA55" s="198">
        <f t="shared" si="65"/>
        <v>0</v>
      </c>
      <c r="CB55" s="198" t="str">
        <f t="shared" si="67"/>
        <v/>
      </c>
      <c r="CC55" s="198" t="str">
        <f t="shared" si="68"/>
        <v/>
      </c>
      <c r="CQ55" s="198" t="s">
        <v>257</v>
      </c>
      <c r="CR55" s="198" t="s">
        <v>172</v>
      </c>
      <c r="CS55" s="198" t="str">
        <f t="shared" si="35"/>
        <v>5th(A):</v>
      </c>
    </row>
    <row r="56" spans="3:97">
      <c r="L56" s="4">
        <v>11</v>
      </c>
      <c r="M56" s="4" t="str">
        <f t="shared" si="54"/>
        <v>A♯</v>
      </c>
      <c r="N56" s="4">
        <f t="shared" si="55"/>
        <v>11</v>
      </c>
      <c r="O56" s="4" t="s">
        <v>39</v>
      </c>
      <c r="P56" s="4" t="s">
        <v>35</v>
      </c>
      <c r="X56" s="198"/>
      <c r="AF56" s="198"/>
      <c r="AG56" s="205" t="s">
        <v>95</v>
      </c>
      <c r="AH56" s="205" t="s">
        <v>94</v>
      </c>
      <c r="AI56" s="201" t="s">
        <v>395</v>
      </c>
      <c r="AJ56" s="201" t="s">
        <v>229</v>
      </c>
      <c r="AK56" s="201" t="s">
        <v>231</v>
      </c>
      <c r="AL56" s="201" t="s">
        <v>237</v>
      </c>
      <c r="AM56" s="205" t="s">
        <v>93</v>
      </c>
      <c r="AR56" s="198">
        <f>AW53</f>
        <v>1</v>
      </c>
      <c r="AS56" s="204" t="str">
        <f>VLOOKUP(AR56,AR58:AS61,2,0)</f>
        <v>Major</v>
      </c>
      <c r="AT56" s="198">
        <f t="shared" ref="AT56:AZ56" si="72">VLOOKUP($AR$56,$AR$58:$AZ$61,AT55+2,0)</f>
        <v>1</v>
      </c>
      <c r="AU56" s="198">
        <f t="shared" si="72"/>
        <v>3</v>
      </c>
      <c r="AV56" s="198">
        <f t="shared" si="72"/>
        <v>5</v>
      </c>
      <c r="AW56" s="198">
        <f t="shared" si="72"/>
        <v>6</v>
      </c>
      <c r="AX56" s="198">
        <f t="shared" si="72"/>
        <v>8</v>
      </c>
      <c r="AY56" s="198">
        <f t="shared" si="72"/>
        <v>10</v>
      </c>
      <c r="AZ56" s="198">
        <f t="shared" si="72"/>
        <v>12</v>
      </c>
      <c r="BB56" s="198">
        <f>AR56</f>
        <v>1</v>
      </c>
      <c r="BC56" s="204" t="str">
        <f>AS56</f>
        <v>Major</v>
      </c>
      <c r="BD56" s="198" t="str">
        <f t="shared" ref="BD56:BJ56" si="73">VLOOKUP($BB$56,$BB$58:$BJ$61,BD55+2,0)</f>
        <v>I</v>
      </c>
      <c r="BE56" s="198" t="str">
        <f t="shared" si="73"/>
        <v>II</v>
      </c>
      <c r="BF56" s="198" t="str">
        <f t="shared" si="73"/>
        <v>III</v>
      </c>
      <c r="BG56" s="198" t="str">
        <f t="shared" si="73"/>
        <v>IV</v>
      </c>
      <c r="BH56" s="198" t="str">
        <f t="shared" si="73"/>
        <v>V</v>
      </c>
      <c r="BI56" s="198" t="str">
        <f t="shared" si="73"/>
        <v>VI</v>
      </c>
      <c r="BJ56" s="198" t="str">
        <f t="shared" si="73"/>
        <v>VII</v>
      </c>
      <c r="BL56" s="4">
        <f t="shared" si="69"/>
        <v>11</v>
      </c>
      <c r="BM56" s="4">
        <v>18</v>
      </c>
      <c r="BP56" s="198"/>
      <c r="BQ56" s="201" t="str">
        <f>AJ8</f>
        <v>C</v>
      </c>
      <c r="BR56" s="198">
        <f t="shared" si="58"/>
        <v>1</v>
      </c>
      <c r="BS56" s="198">
        <f t="shared" si="59"/>
        <v>1</v>
      </c>
      <c r="BT56" s="198">
        <f t="shared" si="66"/>
        <v>1</v>
      </c>
      <c r="BU56" s="201" t="str">
        <f t="shared" si="60"/>
        <v>C</v>
      </c>
      <c r="BV56" s="201" t="str">
        <f>'Diatonic Chart'!T32</f>
        <v>C</v>
      </c>
      <c r="BW56" s="201">
        <f t="shared" si="61"/>
        <v>1</v>
      </c>
      <c r="BX56" s="198">
        <f t="shared" si="62"/>
        <v>1</v>
      </c>
      <c r="BY56" s="201" t="str">
        <f t="shared" si="63"/>
        <v>C</v>
      </c>
      <c r="BZ56" s="198">
        <f t="shared" si="64"/>
        <v>0</v>
      </c>
      <c r="CA56" s="198">
        <f t="shared" si="65"/>
        <v>0</v>
      </c>
      <c r="CB56" s="198" t="str">
        <f t="shared" si="67"/>
        <v/>
      </c>
      <c r="CC56" s="198" t="str">
        <f t="shared" si="68"/>
        <v/>
      </c>
      <c r="CQ56" s="198" t="s">
        <v>258</v>
      </c>
      <c r="CR56" s="198" t="s">
        <v>173</v>
      </c>
      <c r="CS56" s="198" t="str">
        <f t="shared" si="35"/>
        <v>6th(E):</v>
      </c>
    </row>
    <row r="57" spans="3:97" ht="14.25">
      <c r="L57" s="4">
        <v>12</v>
      </c>
      <c r="M57" s="4" t="str">
        <f t="shared" si="54"/>
        <v>B</v>
      </c>
      <c r="N57" s="4">
        <f t="shared" si="55"/>
        <v>12</v>
      </c>
      <c r="O57" s="4" t="s">
        <v>6</v>
      </c>
      <c r="P57" s="4" t="s">
        <v>6</v>
      </c>
      <c r="X57" s="198">
        <f>IF(AND(AA31&gt;=1,AA31&lt;=11),1,0)</f>
        <v>0</v>
      </c>
      <c r="Y57" s="195"/>
      <c r="AF57" s="201" t="str">
        <f t="shared" ref="AF57:AF63" si="74">AG29</f>
        <v>I</v>
      </c>
      <c r="AG57" s="206" t="str">
        <f t="shared" ref="AG57:AH63" si="75">AM29</f>
        <v>C</v>
      </c>
      <c r="AH57" s="206" t="str">
        <f t="shared" si="75"/>
        <v>C△7</v>
      </c>
      <c r="AI57" s="207" t="str">
        <f t="shared" ref="AI57:AL63" si="76">AH29</f>
        <v>C</v>
      </c>
      <c r="AJ57" s="207" t="str">
        <f t="shared" si="76"/>
        <v>E</v>
      </c>
      <c r="AK57" s="207" t="str">
        <f t="shared" si="76"/>
        <v>G</v>
      </c>
      <c r="AL57" s="207" t="str">
        <f t="shared" si="76"/>
        <v>B</v>
      </c>
      <c r="AM57" s="198" t="str">
        <f t="shared" ref="AM57:AM63" si="77">AS29</f>
        <v>T</v>
      </c>
      <c r="AR57" s="198"/>
      <c r="AS57" s="198"/>
      <c r="AT57" s="201">
        <v>1</v>
      </c>
      <c r="AU57" s="201">
        <v>2</v>
      </c>
      <c r="AV57" s="201">
        <v>3</v>
      </c>
      <c r="AW57" s="201">
        <v>4</v>
      </c>
      <c r="AX57" s="201">
        <v>5</v>
      </c>
      <c r="AY57" s="201">
        <v>6</v>
      </c>
      <c r="AZ57" s="201">
        <v>7</v>
      </c>
      <c r="BB57" s="198"/>
      <c r="BC57" s="198"/>
      <c r="BD57" s="201">
        <v>1</v>
      </c>
      <c r="BE57" s="201">
        <v>2</v>
      </c>
      <c r="BF57" s="201">
        <v>3</v>
      </c>
      <c r="BG57" s="201">
        <v>4</v>
      </c>
      <c r="BH57" s="201">
        <v>5</v>
      </c>
      <c r="BI57" s="201">
        <v>6</v>
      </c>
      <c r="BJ57" s="201">
        <v>7</v>
      </c>
      <c r="BL57" s="4" t="str">
        <f t="shared" si="69"/>
        <v/>
      </c>
      <c r="BM57" s="4">
        <v>19</v>
      </c>
      <c r="BP57" s="198"/>
      <c r="BQ57" s="201" t="str">
        <f>AJ9</f>
        <v>G</v>
      </c>
      <c r="BR57" s="198">
        <f t="shared" si="58"/>
        <v>8</v>
      </c>
      <c r="BS57" s="198">
        <f t="shared" si="59"/>
        <v>8</v>
      </c>
      <c r="BT57" s="198">
        <f t="shared" si="66"/>
        <v>8</v>
      </c>
      <c r="BU57" s="201" t="str">
        <f t="shared" si="60"/>
        <v>G</v>
      </c>
      <c r="BV57" s="201" t="str">
        <f>'Diatonic Chart'!T33</f>
        <v>G</v>
      </c>
      <c r="BW57" s="201">
        <f t="shared" si="61"/>
        <v>8</v>
      </c>
      <c r="BX57" s="198">
        <f t="shared" si="62"/>
        <v>1</v>
      </c>
      <c r="BY57" s="201" t="str">
        <f t="shared" si="63"/>
        <v>G</v>
      </c>
      <c r="BZ57" s="198">
        <f t="shared" si="64"/>
        <v>0</v>
      </c>
      <c r="CA57" s="198">
        <f t="shared" si="65"/>
        <v>0</v>
      </c>
      <c r="CB57" s="198" t="str">
        <f t="shared" si="67"/>
        <v/>
      </c>
      <c r="CC57" s="198" t="str">
        <f t="shared" si="68"/>
        <v/>
      </c>
      <c r="CQ57" s="198"/>
      <c r="CR57" s="198"/>
      <c r="CS57" s="198">
        <f t="shared" si="35"/>
        <v>0</v>
      </c>
    </row>
    <row r="58" spans="3:97" ht="14.25">
      <c r="C58" s="196" t="s">
        <v>61</v>
      </c>
      <c r="D58" s="200" t="str">
        <f t="shared" ref="D58:J58" si="78">IF(D61=1,D55,"")</f>
        <v>C</v>
      </c>
      <c r="E58" s="200" t="str">
        <f t="shared" si="78"/>
        <v>D</v>
      </c>
      <c r="F58" s="200" t="str">
        <f t="shared" si="78"/>
        <v>E</v>
      </c>
      <c r="G58" s="200" t="str">
        <f t="shared" si="78"/>
        <v/>
      </c>
      <c r="H58" s="200" t="str">
        <f t="shared" si="78"/>
        <v>G</v>
      </c>
      <c r="I58" s="200" t="str">
        <f t="shared" si="78"/>
        <v>A</v>
      </c>
      <c r="J58" s="200" t="str">
        <f t="shared" si="78"/>
        <v/>
      </c>
      <c r="L58" s="4">
        <v>13</v>
      </c>
      <c r="M58" s="4" t="str">
        <f t="shared" si="54"/>
        <v>C</v>
      </c>
      <c r="N58" s="4">
        <f t="shared" si="55"/>
        <v>13</v>
      </c>
      <c r="O58" s="4" t="str">
        <f>O46</f>
        <v>C</v>
      </c>
      <c r="P58" s="4" t="str">
        <f>P46</f>
        <v>C</v>
      </c>
      <c r="X58" s="198"/>
      <c r="AF58" s="201" t="str">
        <f t="shared" si="74"/>
        <v>II</v>
      </c>
      <c r="AG58" s="206" t="str">
        <f t="shared" si="75"/>
        <v>Dm</v>
      </c>
      <c r="AH58" s="206" t="str">
        <f>AN30</f>
        <v>Dm7</v>
      </c>
      <c r="AI58" s="207" t="str">
        <f t="shared" si="76"/>
        <v>D</v>
      </c>
      <c r="AJ58" s="207" t="str">
        <f t="shared" si="76"/>
        <v>F</v>
      </c>
      <c r="AK58" s="207" t="str">
        <f t="shared" si="76"/>
        <v>A</v>
      </c>
      <c r="AL58" s="207" t="str">
        <f t="shared" si="76"/>
        <v>C</v>
      </c>
      <c r="AM58" s="198" t="str">
        <f t="shared" si="77"/>
        <v>SD</v>
      </c>
      <c r="AR58" s="198">
        <v>1</v>
      </c>
      <c r="AS58" s="204" t="s">
        <v>17</v>
      </c>
      <c r="AT58" s="198">
        <f t="shared" ref="AT58:AZ58" si="79">D74</f>
        <v>1</v>
      </c>
      <c r="AU58" s="198">
        <f t="shared" si="79"/>
        <v>3</v>
      </c>
      <c r="AV58" s="198">
        <f t="shared" si="79"/>
        <v>5</v>
      </c>
      <c r="AW58" s="198">
        <f t="shared" si="79"/>
        <v>6</v>
      </c>
      <c r="AX58" s="198">
        <f t="shared" si="79"/>
        <v>8</v>
      </c>
      <c r="AY58" s="198">
        <f t="shared" si="79"/>
        <v>10</v>
      </c>
      <c r="AZ58" s="198">
        <f t="shared" si="79"/>
        <v>12</v>
      </c>
      <c r="BB58" s="198">
        <v>1</v>
      </c>
      <c r="BC58" s="204" t="s">
        <v>17</v>
      </c>
      <c r="BD58" s="198" t="str">
        <f t="shared" ref="BD58:BJ58" si="80">D75</f>
        <v>I</v>
      </c>
      <c r="BE58" s="198" t="str">
        <f t="shared" si="80"/>
        <v>II</v>
      </c>
      <c r="BF58" s="198" t="str">
        <f t="shared" si="80"/>
        <v>III</v>
      </c>
      <c r="BG58" s="198" t="str">
        <f t="shared" si="80"/>
        <v>IV</v>
      </c>
      <c r="BH58" s="198" t="str">
        <f t="shared" si="80"/>
        <v>V</v>
      </c>
      <c r="BI58" s="198" t="str">
        <f t="shared" si="80"/>
        <v>VI</v>
      </c>
      <c r="BJ58" s="198" t="str">
        <f t="shared" si="80"/>
        <v>VII</v>
      </c>
      <c r="BL58" s="4">
        <f t="shared" si="69"/>
        <v>12</v>
      </c>
      <c r="BM58" s="4">
        <v>20</v>
      </c>
      <c r="CQ58" s="198" t="s">
        <v>259</v>
      </c>
      <c r="CR58" s="198" t="s">
        <v>175</v>
      </c>
      <c r="CS58" s="198" t="str">
        <f t="shared" si="35"/>
        <v>1st(A):</v>
      </c>
    </row>
    <row r="59" spans="3:97" ht="14.25">
      <c r="L59" s="4">
        <v>14</v>
      </c>
      <c r="M59" s="4" t="str">
        <f t="shared" si="54"/>
        <v>C♯</v>
      </c>
      <c r="N59" s="4">
        <f t="shared" si="55"/>
        <v>14</v>
      </c>
      <c r="O59" s="198" t="str">
        <f t="shared" ref="O59:P59" si="81">O47</f>
        <v>C♯</v>
      </c>
      <c r="P59" s="198" t="str">
        <f t="shared" si="81"/>
        <v>D♭</v>
      </c>
      <c r="X59" s="198"/>
      <c r="AF59" s="201" t="str">
        <f t="shared" si="74"/>
        <v>III</v>
      </c>
      <c r="AG59" s="206" t="str">
        <f t="shared" si="75"/>
        <v>Em</v>
      </c>
      <c r="AH59" s="206" t="str">
        <f t="shared" si="75"/>
        <v>Em7</v>
      </c>
      <c r="AI59" s="207" t="str">
        <f t="shared" si="76"/>
        <v>E</v>
      </c>
      <c r="AJ59" s="207" t="str">
        <f t="shared" si="76"/>
        <v>G</v>
      </c>
      <c r="AK59" s="207" t="str">
        <f t="shared" si="76"/>
        <v>B</v>
      </c>
      <c r="AL59" s="207" t="str">
        <f t="shared" si="76"/>
        <v>D</v>
      </c>
      <c r="AM59" s="198" t="str">
        <f t="shared" si="77"/>
        <v>T</v>
      </c>
      <c r="AR59" s="198">
        <v>2</v>
      </c>
      <c r="AS59" s="204" t="s">
        <v>141</v>
      </c>
      <c r="AT59" s="198">
        <f t="shared" ref="AT59:AZ59" si="82">D77</f>
        <v>1</v>
      </c>
      <c r="AU59" s="198">
        <f t="shared" si="82"/>
        <v>3</v>
      </c>
      <c r="AV59" s="198">
        <f t="shared" si="82"/>
        <v>4</v>
      </c>
      <c r="AW59" s="198">
        <f t="shared" si="82"/>
        <v>6</v>
      </c>
      <c r="AX59" s="198">
        <f t="shared" si="82"/>
        <v>8</v>
      </c>
      <c r="AY59" s="198">
        <f t="shared" si="82"/>
        <v>9</v>
      </c>
      <c r="AZ59" s="198">
        <f t="shared" si="82"/>
        <v>11</v>
      </c>
      <c r="BB59" s="198">
        <v>2</v>
      </c>
      <c r="BC59" s="204" t="s">
        <v>141</v>
      </c>
      <c r="BD59" s="198" t="str">
        <f t="shared" ref="BD59:BJ59" si="83">D78</f>
        <v>I</v>
      </c>
      <c r="BE59" s="198" t="str">
        <f t="shared" si="83"/>
        <v>II</v>
      </c>
      <c r="BF59" s="198" t="str">
        <f t="shared" si="83"/>
        <v>♭III</v>
      </c>
      <c r="BG59" s="198" t="str">
        <f t="shared" si="83"/>
        <v>IV</v>
      </c>
      <c r="BH59" s="198" t="str">
        <f t="shared" si="83"/>
        <v>V</v>
      </c>
      <c r="BI59" s="198" t="str">
        <f t="shared" si="83"/>
        <v>♭VI</v>
      </c>
      <c r="BJ59" s="198" t="str">
        <f t="shared" si="83"/>
        <v>♭VII</v>
      </c>
      <c r="BL59" s="4" t="str">
        <f t="shared" si="69"/>
        <v/>
      </c>
      <c r="BM59" s="4">
        <v>21</v>
      </c>
      <c r="BP59" s="198">
        <f t="shared" ref="BP59:BP70" si="84">VLOOKUP(BQ59,$AF$5:$AG$17,2,0)</f>
        <v>1</v>
      </c>
      <c r="BQ59" s="198" t="str">
        <f t="shared" ref="BQ59:BQ70" si="85">AF6</f>
        <v>C</v>
      </c>
      <c r="BR59" s="198">
        <f>BP59</f>
        <v>1</v>
      </c>
      <c r="CQ59" s="198" t="s">
        <v>260</v>
      </c>
      <c r="CR59" s="198" t="s">
        <v>176</v>
      </c>
      <c r="CS59" s="198" t="str">
        <f t="shared" si="35"/>
        <v>2nd(E):</v>
      </c>
    </row>
    <row r="60" spans="3:97" ht="14.25">
      <c r="C60" s="198" t="s">
        <v>388</v>
      </c>
      <c r="D60" s="198">
        <f>H10</f>
        <v>1</v>
      </c>
      <c r="E60" s="198"/>
      <c r="F60" s="198"/>
      <c r="G60" s="198"/>
      <c r="H60" s="198"/>
      <c r="I60" s="198"/>
      <c r="J60" s="198"/>
      <c r="L60" s="4">
        <v>15</v>
      </c>
      <c r="M60" s="4" t="str">
        <f t="shared" si="54"/>
        <v>D</v>
      </c>
      <c r="N60" s="4">
        <f t="shared" si="55"/>
        <v>15</v>
      </c>
      <c r="O60" s="4" t="str">
        <f t="shared" ref="O60:P60" si="86">O48</f>
        <v>D</v>
      </c>
      <c r="P60" s="4" t="str">
        <f t="shared" si="86"/>
        <v>D</v>
      </c>
      <c r="X60" s="198">
        <f>IF(AND(X62=1,X64=1,X66=1,X68=1),1,0)</f>
        <v>0</v>
      </c>
      <c r="AF60" s="201" t="str">
        <f t="shared" si="74"/>
        <v>IV</v>
      </c>
      <c r="AG60" s="206" t="str">
        <f t="shared" si="75"/>
        <v>F</v>
      </c>
      <c r="AH60" s="206" t="str">
        <f t="shared" si="75"/>
        <v>F△7</v>
      </c>
      <c r="AI60" s="207" t="str">
        <f t="shared" si="76"/>
        <v>F</v>
      </c>
      <c r="AJ60" s="207" t="str">
        <f t="shared" si="76"/>
        <v>A</v>
      </c>
      <c r="AK60" s="207" t="str">
        <f t="shared" si="76"/>
        <v>C</v>
      </c>
      <c r="AL60" s="207" t="str">
        <f t="shared" si="76"/>
        <v>E</v>
      </c>
      <c r="AM60" s="198" t="str">
        <f t="shared" si="77"/>
        <v>SD</v>
      </c>
      <c r="AR60" s="198">
        <v>3</v>
      </c>
      <c r="AS60" s="204" t="s">
        <v>139</v>
      </c>
      <c r="AT60" s="198">
        <f t="shared" ref="AT60:AZ60" si="87">D80</f>
        <v>1</v>
      </c>
      <c r="AU60" s="198">
        <f t="shared" si="87"/>
        <v>3</v>
      </c>
      <c r="AV60" s="198">
        <f t="shared" si="87"/>
        <v>4</v>
      </c>
      <c r="AW60" s="198">
        <f t="shared" si="87"/>
        <v>6</v>
      </c>
      <c r="AX60" s="198">
        <f t="shared" si="87"/>
        <v>8</v>
      </c>
      <c r="AY60" s="198">
        <f t="shared" si="87"/>
        <v>9</v>
      </c>
      <c r="AZ60" s="198">
        <f t="shared" si="87"/>
        <v>12</v>
      </c>
      <c r="BB60" s="198">
        <v>3</v>
      </c>
      <c r="BC60" s="204" t="s">
        <v>139</v>
      </c>
      <c r="BD60" s="198" t="str">
        <f t="shared" ref="BD60:BJ60" si="88">D81</f>
        <v>I</v>
      </c>
      <c r="BE60" s="198" t="str">
        <f t="shared" si="88"/>
        <v>II</v>
      </c>
      <c r="BF60" s="198" t="str">
        <f t="shared" si="88"/>
        <v>♭III</v>
      </c>
      <c r="BG60" s="198" t="str">
        <f t="shared" si="88"/>
        <v>IV</v>
      </c>
      <c r="BH60" s="198" t="str">
        <f t="shared" si="88"/>
        <v>V</v>
      </c>
      <c r="BI60" s="198" t="str">
        <f t="shared" si="88"/>
        <v>♭VI</v>
      </c>
      <c r="BJ60" s="198" t="str">
        <f t="shared" si="88"/>
        <v>VII</v>
      </c>
      <c r="BL60" s="4">
        <f t="shared" si="69"/>
        <v>13</v>
      </c>
      <c r="BM60" s="4">
        <v>22</v>
      </c>
      <c r="BP60" s="198">
        <f t="shared" si="84"/>
        <v>2</v>
      </c>
      <c r="BQ60" s="198" t="str">
        <f t="shared" si="85"/>
        <v>C♯/D♭</v>
      </c>
      <c r="BR60" s="198">
        <f t="shared" ref="BR60:BR70" si="89">BP60</f>
        <v>2</v>
      </c>
      <c r="BU60" s="198">
        <f>-1*BU44</f>
        <v>0</v>
      </c>
      <c r="BV60" s="198" t="str">
        <f>IF(BU45=1,VLOOKUP(BU60,$BT$62:$BW$68,4,0),"")</f>
        <v/>
      </c>
      <c r="BW60" s="198"/>
      <c r="CQ60" s="198" t="s">
        <v>261</v>
      </c>
      <c r="CR60" s="198" t="s">
        <v>177</v>
      </c>
      <c r="CS60" s="198" t="str">
        <f t="shared" si="35"/>
        <v>3rd(C):</v>
      </c>
    </row>
    <row r="61" spans="3:97" ht="14.25">
      <c r="C61" s="198" t="str">
        <f>IF(D60=2,"minor","Major")</f>
        <v>Major</v>
      </c>
      <c r="D61" s="198">
        <f>IF($D$60=2,D63,D62)</f>
        <v>1</v>
      </c>
      <c r="E61" s="198">
        <f t="shared" ref="E61:J61" si="90">IF($D$60=2,E63,E62)</f>
        <v>1</v>
      </c>
      <c r="F61" s="198">
        <f t="shared" si="90"/>
        <v>1</v>
      </c>
      <c r="G61" s="198">
        <f t="shared" si="90"/>
        <v>0</v>
      </c>
      <c r="H61" s="198">
        <f t="shared" si="90"/>
        <v>1</v>
      </c>
      <c r="I61" s="198">
        <f t="shared" si="90"/>
        <v>1</v>
      </c>
      <c r="J61" s="198">
        <f t="shared" si="90"/>
        <v>0</v>
      </c>
      <c r="L61" s="4">
        <v>16</v>
      </c>
      <c r="M61" s="4" t="str">
        <f t="shared" si="54"/>
        <v>D♯</v>
      </c>
      <c r="N61" s="4">
        <f t="shared" si="55"/>
        <v>16</v>
      </c>
      <c r="O61" s="4" t="str">
        <f t="shared" ref="O61:P61" si="91">O49</f>
        <v>D♯</v>
      </c>
      <c r="P61" s="4" t="str">
        <f t="shared" si="91"/>
        <v>E♭</v>
      </c>
      <c r="X61" s="198"/>
      <c r="AF61" s="201" t="str">
        <f t="shared" si="74"/>
        <v>V</v>
      </c>
      <c r="AG61" s="206" t="str">
        <f t="shared" si="75"/>
        <v>G</v>
      </c>
      <c r="AH61" s="206" t="str">
        <f t="shared" si="75"/>
        <v>G7</v>
      </c>
      <c r="AI61" s="207" t="str">
        <f t="shared" si="76"/>
        <v>G</v>
      </c>
      <c r="AJ61" s="207" t="str">
        <f t="shared" si="76"/>
        <v>B</v>
      </c>
      <c r="AK61" s="207" t="str">
        <f t="shared" si="76"/>
        <v>D</v>
      </c>
      <c r="AL61" s="207" t="str">
        <f t="shared" si="76"/>
        <v>F</v>
      </c>
      <c r="AM61" s="198" t="str">
        <f t="shared" si="77"/>
        <v>D</v>
      </c>
      <c r="AR61" s="198">
        <v>4</v>
      </c>
      <c r="AS61" s="204" t="s">
        <v>140</v>
      </c>
      <c r="AT61" s="198">
        <f t="shared" ref="AT61:AZ61" si="92">D83</f>
        <v>1</v>
      </c>
      <c r="AU61" s="198">
        <f t="shared" si="92"/>
        <v>3</v>
      </c>
      <c r="AV61" s="198">
        <f t="shared" si="92"/>
        <v>4</v>
      </c>
      <c r="AW61" s="198">
        <f t="shared" si="92"/>
        <v>6</v>
      </c>
      <c r="AX61" s="198">
        <f t="shared" si="92"/>
        <v>8</v>
      </c>
      <c r="AY61" s="198">
        <f t="shared" si="92"/>
        <v>10</v>
      </c>
      <c r="AZ61" s="198">
        <f t="shared" si="92"/>
        <v>12</v>
      </c>
      <c r="BB61" s="198">
        <v>4</v>
      </c>
      <c r="BC61" s="204" t="s">
        <v>140</v>
      </c>
      <c r="BD61" s="198" t="str">
        <f t="shared" ref="BD61:BJ61" si="93">D84</f>
        <v>I</v>
      </c>
      <c r="BE61" s="198" t="str">
        <f t="shared" si="93"/>
        <v>II</v>
      </c>
      <c r="BF61" s="198" t="str">
        <f t="shared" si="93"/>
        <v>♭III</v>
      </c>
      <c r="BG61" s="198" t="str">
        <f t="shared" si="93"/>
        <v>IV</v>
      </c>
      <c r="BH61" s="198" t="str">
        <f t="shared" si="93"/>
        <v>V</v>
      </c>
      <c r="BI61" s="198" t="str">
        <f t="shared" si="93"/>
        <v>VI</v>
      </c>
      <c r="BJ61" s="198" t="str">
        <f t="shared" si="93"/>
        <v>VII</v>
      </c>
      <c r="BL61" s="4" t="str">
        <f t="shared" si="69"/>
        <v/>
      </c>
      <c r="BM61" s="4">
        <v>23</v>
      </c>
      <c r="BP61" s="198">
        <f t="shared" si="84"/>
        <v>3</v>
      </c>
      <c r="BQ61" s="198" t="str">
        <f t="shared" si="85"/>
        <v>D</v>
      </c>
      <c r="BR61" s="198">
        <f t="shared" si="89"/>
        <v>3</v>
      </c>
      <c r="BV61" s="198"/>
      <c r="CQ61" s="198" t="s">
        <v>262</v>
      </c>
      <c r="CR61" s="198" t="s">
        <v>178</v>
      </c>
      <c r="CS61" s="198" t="str">
        <f t="shared" si="35"/>
        <v>4th(G):</v>
      </c>
    </row>
    <row r="62" spans="3:97" ht="14.25">
      <c r="C62" s="204" t="s">
        <v>60</v>
      </c>
      <c r="D62" s="198">
        <v>1</v>
      </c>
      <c r="E62" s="198">
        <v>1</v>
      </c>
      <c r="F62" s="198">
        <v>1</v>
      </c>
      <c r="G62" s="198">
        <v>0</v>
      </c>
      <c r="H62" s="198">
        <v>1</v>
      </c>
      <c r="I62" s="198">
        <v>1</v>
      </c>
      <c r="J62" s="198">
        <v>0</v>
      </c>
      <c r="L62" s="4">
        <v>17</v>
      </c>
      <c r="M62" s="4" t="str">
        <f t="shared" si="54"/>
        <v>E</v>
      </c>
      <c r="N62" s="4">
        <f t="shared" si="55"/>
        <v>17</v>
      </c>
      <c r="O62" s="4" t="str">
        <f t="shared" ref="O62:P62" si="94">O50</f>
        <v>E</v>
      </c>
      <c r="P62" s="4" t="str">
        <f t="shared" si="94"/>
        <v>E</v>
      </c>
      <c r="X62" s="198">
        <f>IF(AB48=1,1,0)</f>
        <v>1</v>
      </c>
      <c r="AF62" s="201" t="str">
        <f t="shared" si="74"/>
        <v>VI</v>
      </c>
      <c r="AG62" s="206" t="str">
        <f t="shared" si="75"/>
        <v>Am</v>
      </c>
      <c r="AH62" s="206" t="str">
        <f t="shared" si="75"/>
        <v>Am7</v>
      </c>
      <c r="AI62" s="207" t="str">
        <f t="shared" si="76"/>
        <v>A</v>
      </c>
      <c r="AJ62" s="207" t="str">
        <f t="shared" si="76"/>
        <v>C</v>
      </c>
      <c r="AK62" s="207" t="str">
        <f t="shared" si="76"/>
        <v>E</v>
      </c>
      <c r="AL62" s="207" t="str">
        <f t="shared" si="76"/>
        <v>G</v>
      </c>
      <c r="AM62" s="198" t="str">
        <f t="shared" si="77"/>
        <v>T</v>
      </c>
      <c r="BP62" s="198">
        <f t="shared" si="84"/>
        <v>4</v>
      </c>
      <c r="BQ62" s="198" t="str">
        <f t="shared" si="85"/>
        <v>D♯/E♭</v>
      </c>
      <c r="BR62" s="198">
        <f t="shared" si="89"/>
        <v>4</v>
      </c>
      <c r="BT62" s="198">
        <v>1</v>
      </c>
      <c r="BU62" s="198" t="str">
        <f t="shared" ref="BU62:BU68" si="95">CS65</f>
        <v>0.5</v>
      </c>
      <c r="BV62" s="208" t="str">
        <f>$CS$72</f>
        <v xml:space="preserve"> step down tuning</v>
      </c>
      <c r="BW62" s="198" t="str">
        <f>BU62&amp;BV62</f>
        <v>0.5 step down tuning</v>
      </c>
      <c r="CB62" s="4">
        <f>IF(BU45=1,1,0)</f>
        <v>0</v>
      </c>
      <c r="CQ62" s="198"/>
      <c r="CR62" s="198"/>
      <c r="CS62" s="198">
        <f t="shared" si="35"/>
        <v>0</v>
      </c>
    </row>
    <row r="63" spans="3:97" ht="14.25">
      <c r="C63" s="204" t="s">
        <v>389</v>
      </c>
      <c r="D63" s="198">
        <f t="shared" ref="D63:J63" si="96">IF(OR($J$64=3,$J$64=4),D66,D65)</f>
        <v>1</v>
      </c>
      <c r="E63" s="198">
        <f t="shared" si="96"/>
        <v>0</v>
      </c>
      <c r="F63" s="198">
        <f t="shared" si="96"/>
        <v>1</v>
      </c>
      <c r="G63" s="198">
        <f t="shared" si="96"/>
        <v>1</v>
      </c>
      <c r="H63" s="198">
        <f t="shared" si="96"/>
        <v>1</v>
      </c>
      <c r="I63" s="198">
        <f t="shared" si="96"/>
        <v>0</v>
      </c>
      <c r="J63" s="198">
        <f t="shared" si="96"/>
        <v>1</v>
      </c>
      <c r="L63" s="4">
        <v>18</v>
      </c>
      <c r="M63" s="4" t="str">
        <f t="shared" si="54"/>
        <v>F</v>
      </c>
      <c r="N63" s="4">
        <f t="shared" si="55"/>
        <v>18</v>
      </c>
      <c r="O63" s="4" t="str">
        <f t="shared" ref="O63:P63" si="97">O51</f>
        <v>F</v>
      </c>
      <c r="P63" s="4" t="str">
        <f t="shared" si="97"/>
        <v>F</v>
      </c>
      <c r="X63" s="198"/>
      <c r="AF63" s="201" t="str">
        <f t="shared" si="74"/>
        <v>VII</v>
      </c>
      <c r="AG63" s="206" t="str">
        <f t="shared" si="75"/>
        <v>Bm(♭5)</v>
      </c>
      <c r="AH63" s="206" t="str">
        <f t="shared" si="75"/>
        <v>Bm7(♭5)</v>
      </c>
      <c r="AI63" s="207" t="str">
        <f t="shared" si="76"/>
        <v>B</v>
      </c>
      <c r="AJ63" s="207" t="str">
        <f t="shared" si="76"/>
        <v>D</v>
      </c>
      <c r="AK63" s="207" t="str">
        <f t="shared" si="76"/>
        <v>F</v>
      </c>
      <c r="AL63" s="207" t="str">
        <f t="shared" si="76"/>
        <v>A</v>
      </c>
      <c r="AM63" s="198" t="str">
        <f t="shared" si="77"/>
        <v>D</v>
      </c>
      <c r="BP63" s="198">
        <f t="shared" si="84"/>
        <v>5</v>
      </c>
      <c r="BQ63" s="198" t="str">
        <f t="shared" si="85"/>
        <v>E</v>
      </c>
      <c r="BR63" s="198">
        <f t="shared" si="89"/>
        <v>5</v>
      </c>
      <c r="BT63" s="198">
        <v>2</v>
      </c>
      <c r="BU63" s="198" t="str">
        <f t="shared" si="95"/>
        <v>1.0</v>
      </c>
      <c r="BV63" s="208" t="str">
        <f>$CS$72</f>
        <v xml:space="preserve"> step down tuning</v>
      </c>
      <c r="BW63" s="198" t="str">
        <f t="shared" ref="BW63:BW68" si="98">BU63&amp;BV63</f>
        <v>1.0 step down tuning</v>
      </c>
      <c r="CQ63" s="198" t="s">
        <v>250</v>
      </c>
      <c r="CR63" s="198" t="s">
        <v>249</v>
      </c>
      <c r="CS63" s="198" t="str">
        <f t="shared" si="35"/>
        <v>NA</v>
      </c>
    </row>
    <row r="64" spans="3:97">
      <c r="C64" s="198" t="s">
        <v>400</v>
      </c>
      <c r="D64" s="198"/>
      <c r="E64" s="198"/>
      <c r="F64" s="198"/>
      <c r="G64" s="198"/>
      <c r="H64" s="198"/>
      <c r="I64" s="198"/>
      <c r="J64" s="198">
        <f>H23</f>
        <v>1</v>
      </c>
      <c r="L64" s="4">
        <v>19</v>
      </c>
      <c r="M64" s="4" t="str">
        <f t="shared" si="54"/>
        <v>F♯</v>
      </c>
      <c r="N64" s="4">
        <f t="shared" si="55"/>
        <v>19</v>
      </c>
      <c r="O64" s="4" t="str">
        <f t="shared" ref="O64:P64" si="99">O52</f>
        <v>F♯</v>
      </c>
      <c r="P64" s="4" t="str">
        <f t="shared" si="99"/>
        <v>G♭</v>
      </c>
      <c r="X64" s="198">
        <f>IF($AA$31=AA47,1,0)</f>
        <v>1</v>
      </c>
      <c r="BP64" s="198">
        <f t="shared" si="84"/>
        <v>6</v>
      </c>
      <c r="BQ64" s="198" t="str">
        <f t="shared" si="85"/>
        <v>F</v>
      </c>
      <c r="BR64" s="198">
        <f t="shared" si="89"/>
        <v>6</v>
      </c>
      <c r="BT64" s="198">
        <v>3</v>
      </c>
      <c r="BU64" s="198" t="str">
        <f t="shared" si="95"/>
        <v>1.5</v>
      </c>
      <c r="BV64" s="208" t="str">
        <f>$CS$73</f>
        <v xml:space="preserve"> steps down tuning</v>
      </c>
      <c r="BW64" s="198" t="str">
        <f t="shared" si="98"/>
        <v>1.5 steps down tuning</v>
      </c>
      <c r="CQ64" s="198"/>
      <c r="CR64" s="198"/>
      <c r="CS64" s="198">
        <f t="shared" si="35"/>
        <v>0</v>
      </c>
    </row>
    <row r="65" spans="3:97">
      <c r="C65" s="204" t="s">
        <v>141</v>
      </c>
      <c r="D65" s="198">
        <v>1</v>
      </c>
      <c r="E65" s="198">
        <v>0</v>
      </c>
      <c r="F65" s="198">
        <v>1</v>
      </c>
      <c r="G65" s="198">
        <v>1</v>
      </c>
      <c r="H65" s="198">
        <v>1</v>
      </c>
      <c r="I65" s="198">
        <v>0</v>
      </c>
      <c r="J65" s="198">
        <v>1</v>
      </c>
      <c r="L65" s="4">
        <v>20</v>
      </c>
      <c r="M65" s="4" t="str">
        <f t="shared" si="54"/>
        <v>G</v>
      </c>
      <c r="N65" s="4">
        <f t="shared" si="55"/>
        <v>20</v>
      </c>
      <c r="O65" s="4" t="str">
        <f t="shared" ref="O65:P65" si="100">O53</f>
        <v>G</v>
      </c>
      <c r="P65" s="4" t="str">
        <f t="shared" si="100"/>
        <v>G</v>
      </c>
      <c r="X65" s="198"/>
      <c r="BP65" s="198">
        <f t="shared" si="84"/>
        <v>7</v>
      </c>
      <c r="BQ65" s="198" t="str">
        <f t="shared" si="85"/>
        <v>F♯/G♭</v>
      </c>
      <c r="BR65" s="198">
        <f t="shared" si="89"/>
        <v>7</v>
      </c>
      <c r="BT65" s="198">
        <v>4</v>
      </c>
      <c r="BU65" s="198" t="str">
        <f t="shared" si="95"/>
        <v>2.0</v>
      </c>
      <c r="BV65" s="208" t="str">
        <f>$CS$73</f>
        <v xml:space="preserve"> steps down tuning</v>
      </c>
      <c r="BW65" s="198" t="str">
        <f t="shared" si="98"/>
        <v>2.0 steps down tuning</v>
      </c>
      <c r="CQ65" s="198" t="s">
        <v>272</v>
      </c>
      <c r="CR65" s="208" t="s">
        <v>266</v>
      </c>
      <c r="CS65" s="198" t="str">
        <f t="shared" si="35"/>
        <v>0.5</v>
      </c>
    </row>
    <row r="66" spans="3:97">
      <c r="C66" s="204" t="s">
        <v>390</v>
      </c>
      <c r="D66" s="198">
        <v>1</v>
      </c>
      <c r="E66" s="198">
        <v>0</v>
      </c>
      <c r="F66" s="198">
        <v>1</v>
      </c>
      <c r="G66" s="198">
        <v>1</v>
      </c>
      <c r="H66" s="198">
        <v>1</v>
      </c>
      <c r="I66" s="198">
        <v>0</v>
      </c>
      <c r="J66" s="198">
        <v>0</v>
      </c>
      <c r="L66" s="4">
        <v>21</v>
      </c>
      <c r="M66" s="4" t="str">
        <f t="shared" si="54"/>
        <v>G♯</v>
      </c>
      <c r="N66" s="4">
        <f t="shared" si="55"/>
        <v>21</v>
      </c>
      <c r="O66" s="4" t="str">
        <f t="shared" ref="O66:P66" si="101">O54</f>
        <v>G♯</v>
      </c>
      <c r="P66" s="4" t="str">
        <f t="shared" si="101"/>
        <v>A♭</v>
      </c>
      <c r="X66" s="198">
        <f>IF($AA$31&lt;=-1,1,0)</f>
        <v>0</v>
      </c>
      <c r="Y66" s="195"/>
      <c r="BP66" s="198">
        <f t="shared" si="84"/>
        <v>8</v>
      </c>
      <c r="BQ66" s="198" t="str">
        <f t="shared" si="85"/>
        <v>G</v>
      </c>
      <c r="BR66" s="198">
        <f t="shared" si="89"/>
        <v>8</v>
      </c>
      <c r="BT66" s="198">
        <v>5</v>
      </c>
      <c r="BU66" s="198" t="str">
        <f t="shared" si="95"/>
        <v>2.5</v>
      </c>
      <c r="BV66" s="208" t="str">
        <f>$CS$73</f>
        <v xml:space="preserve"> steps down tuning</v>
      </c>
      <c r="BW66" s="198" t="str">
        <f t="shared" si="98"/>
        <v>2.5 steps down tuning</v>
      </c>
      <c r="CQ66" s="198" t="s">
        <v>273</v>
      </c>
      <c r="CR66" s="208" t="s">
        <v>265</v>
      </c>
      <c r="CS66" s="198" t="str">
        <f t="shared" si="35"/>
        <v>1.0</v>
      </c>
    </row>
    <row r="67" spans="3:97">
      <c r="L67" s="4">
        <v>22</v>
      </c>
      <c r="M67" s="4" t="str">
        <f t="shared" si="54"/>
        <v>A</v>
      </c>
      <c r="N67" s="4">
        <f t="shared" si="55"/>
        <v>22</v>
      </c>
      <c r="O67" s="4" t="str">
        <f t="shared" ref="O67:P67" si="102">O55</f>
        <v>A</v>
      </c>
      <c r="P67" s="4" t="str">
        <f t="shared" si="102"/>
        <v>A</v>
      </c>
      <c r="X67" s="198"/>
      <c r="BP67" s="198">
        <f t="shared" si="84"/>
        <v>9</v>
      </c>
      <c r="BQ67" s="198" t="str">
        <f t="shared" si="85"/>
        <v>G♯/A♭</v>
      </c>
      <c r="BR67" s="198">
        <f t="shared" si="89"/>
        <v>9</v>
      </c>
      <c r="BT67" s="198">
        <v>6</v>
      </c>
      <c r="BU67" s="198" t="str">
        <f t="shared" si="95"/>
        <v>3.0</v>
      </c>
      <c r="BV67" s="208" t="str">
        <f>$CS$73</f>
        <v xml:space="preserve"> steps down tuning</v>
      </c>
      <c r="BW67" s="198" t="str">
        <f t="shared" si="98"/>
        <v>3.0 steps down tuning</v>
      </c>
      <c r="CO67" s="198"/>
      <c r="CQ67" s="198" t="s">
        <v>274</v>
      </c>
      <c r="CR67" s="208" t="s">
        <v>267</v>
      </c>
      <c r="CS67" s="198" t="str">
        <f t="shared" si="35"/>
        <v>1.5</v>
      </c>
    </row>
    <row r="68" spans="3:97">
      <c r="D68" s="198">
        <f>H23</f>
        <v>1</v>
      </c>
      <c r="F68" s="198"/>
      <c r="H68" s="198">
        <f>D68+10</f>
        <v>11</v>
      </c>
      <c r="J68" s="198"/>
      <c r="L68" s="4">
        <v>23</v>
      </c>
      <c r="M68" s="4" t="str">
        <f t="shared" si="54"/>
        <v>A♯</v>
      </c>
      <c r="N68" s="4">
        <f t="shared" si="55"/>
        <v>23</v>
      </c>
      <c r="O68" s="4" t="str">
        <f t="shared" ref="O68:P68" si="103">O56</f>
        <v>A♯</v>
      </c>
      <c r="P68" s="4" t="str">
        <f t="shared" si="103"/>
        <v>B♭</v>
      </c>
      <c r="X68" s="198">
        <f>IF($AA$31&gt;=AA26,1,0)</f>
        <v>1</v>
      </c>
      <c r="Y68" s="195"/>
      <c r="BP68" s="198">
        <f t="shared" si="84"/>
        <v>10</v>
      </c>
      <c r="BQ68" s="198" t="str">
        <f t="shared" si="85"/>
        <v>A</v>
      </c>
      <c r="BR68" s="198">
        <f t="shared" si="89"/>
        <v>10</v>
      </c>
      <c r="BT68" s="198">
        <v>7</v>
      </c>
      <c r="BU68" s="198" t="str">
        <f t="shared" si="95"/>
        <v>3.5</v>
      </c>
      <c r="BV68" s="208" t="str">
        <f>$CS$73</f>
        <v xml:space="preserve"> steps down tuning</v>
      </c>
      <c r="BW68" s="198" t="str">
        <f t="shared" si="98"/>
        <v>3.5 steps down tuning</v>
      </c>
      <c r="CO68" s="4" t="str">
        <f>D4</f>
        <v>-</v>
      </c>
      <c r="CQ68" s="198" t="s">
        <v>275</v>
      </c>
      <c r="CR68" s="208" t="s">
        <v>268</v>
      </c>
      <c r="CS68" s="198" t="str">
        <f t="shared" si="35"/>
        <v>2.0</v>
      </c>
    </row>
    <row r="69" spans="3:97">
      <c r="D69" s="201">
        <f>IF(key1No-1&lt;0,0,key1No-1)</f>
        <v>0</v>
      </c>
      <c r="L69" s="197" t="s">
        <v>105</v>
      </c>
      <c r="M69" s="3"/>
      <c r="N69" s="3"/>
      <c r="O69" s="3"/>
      <c r="P69" s="3"/>
      <c r="X69" s="198"/>
      <c r="BP69" s="198">
        <f t="shared" si="84"/>
        <v>11</v>
      </c>
      <c r="BQ69" s="198" t="str">
        <f t="shared" si="85"/>
        <v>A♯/B♭</v>
      </c>
      <c r="BR69" s="198">
        <f t="shared" si="89"/>
        <v>11</v>
      </c>
      <c r="CO69" s="4" t="str">
        <f t="shared" ref="CO69:CO73" si="104">D5</f>
        <v>C</v>
      </c>
      <c r="CQ69" s="198" t="s">
        <v>276</v>
      </c>
      <c r="CR69" s="208" t="s">
        <v>269</v>
      </c>
      <c r="CS69" s="198" t="str">
        <f t="shared" si="35"/>
        <v>2.5</v>
      </c>
    </row>
    <row r="70" spans="3:97">
      <c r="C70" s="198"/>
      <c r="D70" s="198" t="s">
        <v>21</v>
      </c>
      <c r="E70" s="198" t="s">
        <v>22</v>
      </c>
      <c r="F70" s="198" t="s">
        <v>24</v>
      </c>
      <c r="G70" s="198" t="s">
        <v>25</v>
      </c>
      <c r="H70" s="198" t="s">
        <v>30</v>
      </c>
      <c r="I70" s="198" t="s">
        <v>28</v>
      </c>
      <c r="J70" s="198" t="s">
        <v>27</v>
      </c>
      <c r="L70" s="3"/>
      <c r="M70" s="3"/>
      <c r="N70" s="3"/>
      <c r="O70" s="3"/>
      <c r="P70" s="3"/>
      <c r="X70" s="198"/>
      <c r="BP70" s="198">
        <f t="shared" si="84"/>
        <v>12</v>
      </c>
      <c r="BQ70" s="198" t="str">
        <f t="shared" si="85"/>
        <v>B</v>
      </c>
      <c r="BR70" s="198">
        <f t="shared" si="89"/>
        <v>12</v>
      </c>
      <c r="CO70" s="4" t="str">
        <f t="shared" si="104"/>
        <v>C♯ or D♭</v>
      </c>
      <c r="CQ70" s="198" t="s">
        <v>277</v>
      </c>
      <c r="CR70" s="208" t="s">
        <v>270</v>
      </c>
      <c r="CS70" s="198" t="str">
        <f t="shared" si="35"/>
        <v>3.0</v>
      </c>
    </row>
    <row r="71" spans="3:97">
      <c r="C71" s="204" t="s">
        <v>19</v>
      </c>
      <c r="D71" s="201">
        <v>1</v>
      </c>
      <c r="E71" s="201">
        <v>3</v>
      </c>
      <c r="F71" s="201">
        <v>5</v>
      </c>
      <c r="G71" s="201">
        <v>6</v>
      </c>
      <c r="H71" s="201">
        <v>8</v>
      </c>
      <c r="I71" s="201">
        <v>10</v>
      </c>
      <c r="J71" s="201">
        <v>12</v>
      </c>
      <c r="L71" s="3"/>
      <c r="M71" s="3"/>
      <c r="N71" s="3"/>
      <c r="O71" s="3"/>
      <c r="P71" s="3"/>
      <c r="X71" s="198"/>
      <c r="CO71" s="4" t="str">
        <f t="shared" si="104"/>
        <v>D</v>
      </c>
      <c r="CQ71" s="198" t="s">
        <v>278</v>
      </c>
      <c r="CR71" s="208" t="s">
        <v>271</v>
      </c>
      <c r="CS71" s="198" t="str">
        <f t="shared" si="35"/>
        <v>3.5</v>
      </c>
    </row>
    <row r="72" spans="3:97">
      <c r="C72" s="198">
        <f>C73+10</f>
        <v>10</v>
      </c>
      <c r="D72" s="201" t="str">
        <f t="shared" ref="D72:J72" si="105">VLOOKUP(D71,DegreeNameList,2,0)</f>
        <v>I</v>
      </c>
      <c r="E72" s="201" t="str">
        <f t="shared" si="105"/>
        <v>II</v>
      </c>
      <c r="F72" s="201" t="str">
        <f>VLOOKUP(F71,DegreeNameList,2,0)</f>
        <v>III</v>
      </c>
      <c r="G72" s="201" t="str">
        <f t="shared" si="105"/>
        <v>IV</v>
      </c>
      <c r="H72" s="201" t="str">
        <f t="shared" si="105"/>
        <v>V</v>
      </c>
      <c r="I72" s="201" t="str">
        <f t="shared" si="105"/>
        <v>VI</v>
      </c>
      <c r="J72" s="201" t="str">
        <f t="shared" si="105"/>
        <v>VII</v>
      </c>
      <c r="X72" s="198">
        <f>IF($D$35=0,0,1)</f>
        <v>1</v>
      </c>
      <c r="CO72" s="4" t="str">
        <f t="shared" si="104"/>
        <v>D♯ or E♭</v>
      </c>
      <c r="CQ72" s="198" t="s">
        <v>279</v>
      </c>
      <c r="CR72" s="198" t="s">
        <v>280</v>
      </c>
      <c r="CS72" s="198" t="str">
        <f t="shared" si="35"/>
        <v xml:space="preserve"> step down tuning</v>
      </c>
    </row>
    <row r="73" spans="3:97">
      <c r="C73" s="198">
        <v>0</v>
      </c>
      <c r="D73" s="198" t="s">
        <v>20</v>
      </c>
      <c r="E73" s="198" t="s">
        <v>20</v>
      </c>
      <c r="F73" s="198" t="s">
        <v>20</v>
      </c>
      <c r="G73" s="198" t="s">
        <v>20</v>
      </c>
      <c r="H73" s="198" t="s">
        <v>20</v>
      </c>
      <c r="I73" s="198" t="s">
        <v>20</v>
      </c>
      <c r="J73" s="198" t="s">
        <v>20</v>
      </c>
      <c r="L73" s="196" t="s">
        <v>32</v>
      </c>
      <c r="X73" s="198"/>
      <c r="CO73" s="4" t="str">
        <f t="shared" si="104"/>
        <v>E</v>
      </c>
      <c r="CQ73" s="198" t="s">
        <v>279</v>
      </c>
      <c r="CR73" s="198" t="s">
        <v>281</v>
      </c>
      <c r="CS73" s="198" t="str">
        <f t="shared" si="35"/>
        <v xml:space="preserve"> steps down tuning</v>
      </c>
    </row>
    <row r="74" spans="3:97">
      <c r="C74" s="204" t="s">
        <v>17</v>
      </c>
      <c r="D74" s="201">
        <v>1</v>
      </c>
      <c r="E74" s="201">
        <v>3</v>
      </c>
      <c r="F74" s="201">
        <v>5</v>
      </c>
      <c r="G74" s="201">
        <v>6</v>
      </c>
      <c r="H74" s="201">
        <v>8</v>
      </c>
      <c r="I74" s="201">
        <v>10</v>
      </c>
      <c r="J74" s="201">
        <v>12</v>
      </c>
      <c r="L74" s="4">
        <v>1</v>
      </c>
      <c r="M74" s="4" t="s">
        <v>21</v>
      </c>
      <c r="X74" s="198">
        <f>IF(H10=0,0,1)</f>
        <v>1</v>
      </c>
      <c r="CQ74" s="198"/>
      <c r="CR74" s="198"/>
      <c r="CS74" s="198">
        <f t="shared" si="35"/>
        <v>0</v>
      </c>
    </row>
    <row r="75" spans="3:97">
      <c r="C75" s="198">
        <f>C76+10</f>
        <v>11</v>
      </c>
      <c r="D75" s="201" t="str">
        <f t="shared" ref="D75:J75" si="106">VLOOKUP(D74,DegreeNameList,2,0)</f>
        <v>I</v>
      </c>
      <c r="E75" s="201" t="str">
        <f t="shared" si="106"/>
        <v>II</v>
      </c>
      <c r="F75" s="201" t="str">
        <f t="shared" si="106"/>
        <v>III</v>
      </c>
      <c r="G75" s="201" t="str">
        <f t="shared" si="106"/>
        <v>IV</v>
      </c>
      <c r="H75" s="201" t="str">
        <f t="shared" si="106"/>
        <v>V</v>
      </c>
      <c r="I75" s="201" t="str">
        <f t="shared" si="106"/>
        <v>VI</v>
      </c>
      <c r="J75" s="201" t="str">
        <f t="shared" si="106"/>
        <v>VII</v>
      </c>
      <c r="L75" s="4">
        <v>2</v>
      </c>
      <c r="M75" s="4" t="s">
        <v>120</v>
      </c>
      <c r="X75" s="198"/>
      <c r="CQ75" s="198"/>
      <c r="CR75" s="198"/>
      <c r="CS75" s="198">
        <f t="shared" si="35"/>
        <v>0</v>
      </c>
    </row>
    <row r="76" spans="3:97">
      <c r="C76" s="198">
        <v>1</v>
      </c>
      <c r="D76" s="201" t="str">
        <f t="shared" ref="D76:J76" si="107">VLOOKUP($D$69+D74,NoteList,2,0)</f>
        <v>C</v>
      </c>
      <c r="E76" s="201" t="str">
        <f t="shared" si="107"/>
        <v>D</v>
      </c>
      <c r="F76" s="201" t="str">
        <f t="shared" si="107"/>
        <v>E</v>
      </c>
      <c r="G76" s="201" t="str">
        <f t="shared" si="107"/>
        <v>F</v>
      </c>
      <c r="H76" s="201" t="str">
        <f t="shared" si="107"/>
        <v>G</v>
      </c>
      <c r="I76" s="201" t="str">
        <f t="shared" si="107"/>
        <v>A</v>
      </c>
      <c r="J76" s="201" t="str">
        <f t="shared" si="107"/>
        <v>B</v>
      </c>
      <c r="L76" s="4">
        <v>3</v>
      </c>
      <c r="M76" s="4" t="s">
        <v>22</v>
      </c>
      <c r="X76" s="198">
        <f>IF(OR(X72=0,X74=0),0,IF(AND(X53=1,X60=0),1,IF(AND(X53=0,X60=1),2,0)))</f>
        <v>0</v>
      </c>
      <c r="CQ76" s="198"/>
      <c r="CR76" s="198"/>
      <c r="CS76" s="198">
        <f t="shared" si="35"/>
        <v>0</v>
      </c>
    </row>
    <row r="77" spans="3:97">
      <c r="C77" s="204" t="s">
        <v>141</v>
      </c>
      <c r="D77" s="201">
        <v>1</v>
      </c>
      <c r="E77" s="201">
        <v>3</v>
      </c>
      <c r="F77" s="201">
        <v>4</v>
      </c>
      <c r="G77" s="201">
        <v>6</v>
      </c>
      <c r="H77" s="201">
        <v>8</v>
      </c>
      <c r="I77" s="201">
        <v>9</v>
      </c>
      <c r="J77" s="201">
        <v>11</v>
      </c>
      <c r="L77" s="4">
        <v>4</v>
      </c>
      <c r="M77" s="4" t="s">
        <v>23</v>
      </c>
      <c r="CQ77" s="198"/>
      <c r="CR77" s="198"/>
      <c r="CS77" s="198">
        <f t="shared" si="35"/>
        <v>0</v>
      </c>
    </row>
    <row r="78" spans="3:97">
      <c r="C78" s="198">
        <f>C79+10</f>
        <v>12</v>
      </c>
      <c r="D78" s="201" t="str">
        <f t="shared" ref="D78:J78" si="108">VLOOKUP(D77,DegreeNameList,2,0)</f>
        <v>I</v>
      </c>
      <c r="E78" s="201" t="str">
        <f t="shared" si="108"/>
        <v>II</v>
      </c>
      <c r="F78" s="201" t="str">
        <f t="shared" si="108"/>
        <v>♭III</v>
      </c>
      <c r="G78" s="201" t="str">
        <f t="shared" si="108"/>
        <v>IV</v>
      </c>
      <c r="H78" s="201" t="str">
        <f t="shared" si="108"/>
        <v>V</v>
      </c>
      <c r="I78" s="201" t="str">
        <f t="shared" si="108"/>
        <v>♭VI</v>
      </c>
      <c r="J78" s="201" t="str">
        <f t="shared" si="108"/>
        <v>♭VII</v>
      </c>
      <c r="L78" s="4">
        <v>5</v>
      </c>
      <c r="M78" s="4" t="s">
        <v>24</v>
      </c>
    </row>
    <row r="79" spans="3:97">
      <c r="C79" s="198">
        <v>2</v>
      </c>
      <c r="D79" s="201" t="str">
        <f t="shared" ref="D79:J79" si="109">VLOOKUP($D$69+D77,NoteList,2,0)</f>
        <v>C</v>
      </c>
      <c r="E79" s="201" t="str">
        <f t="shared" si="109"/>
        <v>D</v>
      </c>
      <c r="F79" s="201" t="str">
        <f t="shared" si="109"/>
        <v>D♯</v>
      </c>
      <c r="G79" s="201" t="str">
        <f t="shared" si="109"/>
        <v>F</v>
      </c>
      <c r="H79" s="201" t="str">
        <f t="shared" si="109"/>
        <v>G</v>
      </c>
      <c r="I79" s="201" t="str">
        <f t="shared" si="109"/>
        <v>G♯</v>
      </c>
      <c r="J79" s="201" t="str">
        <f t="shared" si="109"/>
        <v>A♯</v>
      </c>
      <c r="L79" s="4">
        <v>6</v>
      </c>
      <c r="M79" s="4" t="s">
        <v>26</v>
      </c>
      <c r="U79" s="198"/>
      <c r="V79" s="198">
        <f>AA31</f>
        <v>0</v>
      </c>
      <c r="W79" s="198"/>
      <c r="X79" s="198"/>
      <c r="Y79" s="198"/>
      <c r="Z79" s="198"/>
      <c r="AA79" s="198"/>
      <c r="AB79" s="198">
        <f>AM45</f>
        <v>3</v>
      </c>
    </row>
    <row r="80" spans="3:97">
      <c r="C80" s="204" t="s">
        <v>139</v>
      </c>
      <c r="D80" s="201">
        <v>1</v>
      </c>
      <c r="E80" s="201">
        <v>3</v>
      </c>
      <c r="F80" s="201">
        <v>4</v>
      </c>
      <c r="G80" s="201">
        <v>6</v>
      </c>
      <c r="H80" s="201">
        <v>8</v>
      </c>
      <c r="I80" s="201">
        <v>9</v>
      </c>
      <c r="J80" s="201">
        <v>12</v>
      </c>
      <c r="L80" s="4">
        <v>7</v>
      </c>
      <c r="M80" s="4" t="s">
        <v>31</v>
      </c>
      <c r="U80" s="198" t="s">
        <v>246</v>
      </c>
      <c r="V80" s="198" t="s">
        <v>245</v>
      </c>
      <c r="W80" s="198" t="str">
        <f>"-Capo"</f>
        <v>-Capo</v>
      </c>
      <c r="X80" s="198"/>
      <c r="Y80" s="198" t="s">
        <v>248</v>
      </c>
      <c r="Z80" s="198" t="s">
        <v>100</v>
      </c>
      <c r="AA80" s="198" t="s">
        <v>101</v>
      </c>
      <c r="AB80" s="198" t="str">
        <f>IF($X$76=0,$CS$63,"Capo: "&amp;V79)</f>
        <v>NA</v>
      </c>
    </row>
    <row r="81" spans="2:28">
      <c r="C81" s="198">
        <f>C82+10</f>
        <v>13</v>
      </c>
      <c r="D81" s="201" t="str">
        <f t="shared" ref="D81:J81" si="110">VLOOKUP(D80,DegreeNameList,2,0)</f>
        <v>I</v>
      </c>
      <c r="E81" s="201" t="str">
        <f t="shared" si="110"/>
        <v>II</v>
      </c>
      <c r="F81" s="201" t="str">
        <f t="shared" si="110"/>
        <v>♭III</v>
      </c>
      <c r="G81" s="201" t="str">
        <f t="shared" si="110"/>
        <v>IV</v>
      </c>
      <c r="H81" s="201" t="str">
        <f t="shared" si="110"/>
        <v>V</v>
      </c>
      <c r="I81" s="201" t="str">
        <f t="shared" si="110"/>
        <v>♭VI</v>
      </c>
      <c r="J81" s="201" t="str">
        <f t="shared" si="110"/>
        <v>VII</v>
      </c>
      <c r="L81" s="4">
        <v>8</v>
      </c>
      <c r="M81" s="4" t="s">
        <v>30</v>
      </c>
      <c r="U81" s="198" t="str">
        <f t="shared" ref="U81:U87" si="111">AP29</f>
        <v>C</v>
      </c>
      <c r="V81" s="198">
        <f>IF($X$76=0,0,VLOOKUP(U81,$M$46:$N$57,2,0))</f>
        <v>0</v>
      </c>
      <c r="W81" s="198">
        <f>IF($X$76=0,0,V81-$V$79)</f>
        <v>0</v>
      </c>
      <c r="X81" s="198">
        <f>IF(W81&lt;=0,W81+12,IF(W81&gt;12,W81-12,W81))</f>
        <v>12</v>
      </c>
      <c r="Y81" s="198" t="str">
        <f>IF($X$76=0,"",VLOOKUP(X81,$L$46:$M$57,2,0))</f>
        <v/>
      </c>
      <c r="Z81" s="198" t="str">
        <f t="shared" ref="Z81:AA87" si="112">AQ29</f>
        <v/>
      </c>
      <c r="AA81" s="198" t="str">
        <f t="shared" si="112"/>
        <v>△7</v>
      </c>
      <c r="AB81" s="198" t="str">
        <f t="shared" ref="AB81:AB87" si="113">IF($X$76=0,$CS$63,IF($AB$79=4,Y81&amp;AA81,Y81&amp;Z81))</f>
        <v>NA</v>
      </c>
    </row>
    <row r="82" spans="2:28">
      <c r="C82" s="198">
        <v>3</v>
      </c>
      <c r="D82" s="201" t="str">
        <f t="shared" ref="D82:J82" si="114">VLOOKUP($D$69+D80,NoteList,2,0)</f>
        <v>C</v>
      </c>
      <c r="E82" s="201" t="str">
        <f t="shared" si="114"/>
        <v>D</v>
      </c>
      <c r="F82" s="201" t="str">
        <f t="shared" si="114"/>
        <v>D♯</v>
      </c>
      <c r="G82" s="201" t="str">
        <f t="shared" si="114"/>
        <v>F</v>
      </c>
      <c r="H82" s="201" t="str">
        <f t="shared" si="114"/>
        <v>G</v>
      </c>
      <c r="I82" s="201" t="str">
        <f t="shared" si="114"/>
        <v>G♯</v>
      </c>
      <c r="J82" s="201" t="str">
        <f t="shared" si="114"/>
        <v>B</v>
      </c>
      <c r="L82" s="4">
        <v>9</v>
      </c>
      <c r="M82" s="4" t="s">
        <v>29</v>
      </c>
      <c r="U82" s="198" t="str">
        <f t="shared" si="111"/>
        <v>D</v>
      </c>
      <c r="V82" s="198">
        <f t="shared" ref="V82:V87" si="115">IF($X$76=0,0,VLOOKUP(U82,$M$46:$N$57,2,0))</f>
        <v>0</v>
      </c>
      <c r="W82" s="198">
        <f t="shared" ref="W82:W87" si="116">IF($X$76=0,0,V82-$V$79)</f>
        <v>0</v>
      </c>
      <c r="X82" s="198">
        <f t="shared" ref="X82:X87" si="117">IF(W82&lt;=0,W82+12,IF(W82&gt;12,W82-12,W82))</f>
        <v>12</v>
      </c>
      <c r="Y82" s="198" t="str">
        <f t="shared" ref="Y82:Y86" si="118">IF($X$76=0,"",VLOOKUP(X82,$L$46:$M$57,2,0))</f>
        <v/>
      </c>
      <c r="Z82" s="198" t="str">
        <f t="shared" si="112"/>
        <v>m</v>
      </c>
      <c r="AA82" s="198" t="str">
        <f t="shared" si="112"/>
        <v>m7</v>
      </c>
      <c r="AB82" s="198" t="str">
        <f t="shared" si="113"/>
        <v>NA</v>
      </c>
    </row>
    <row r="83" spans="2:28">
      <c r="C83" s="204" t="s">
        <v>140</v>
      </c>
      <c r="D83" s="201">
        <v>1</v>
      </c>
      <c r="E83" s="201">
        <v>3</v>
      </c>
      <c r="F83" s="201">
        <v>4</v>
      </c>
      <c r="G83" s="201">
        <v>6</v>
      </c>
      <c r="H83" s="201">
        <v>8</v>
      </c>
      <c r="I83" s="201">
        <v>10</v>
      </c>
      <c r="J83" s="201">
        <v>12</v>
      </c>
      <c r="L83" s="4">
        <v>10</v>
      </c>
      <c r="M83" s="4" t="s">
        <v>28</v>
      </c>
      <c r="U83" s="198" t="str">
        <f t="shared" si="111"/>
        <v>E</v>
      </c>
      <c r="V83" s="198">
        <f t="shared" si="115"/>
        <v>0</v>
      </c>
      <c r="W83" s="198">
        <f t="shared" si="116"/>
        <v>0</v>
      </c>
      <c r="X83" s="198">
        <f t="shared" si="117"/>
        <v>12</v>
      </c>
      <c r="Y83" s="198" t="str">
        <f t="shared" si="118"/>
        <v/>
      </c>
      <c r="Z83" s="198" t="str">
        <f t="shared" si="112"/>
        <v>m</v>
      </c>
      <c r="AA83" s="198" t="str">
        <f t="shared" si="112"/>
        <v>m7</v>
      </c>
      <c r="AB83" s="198" t="str">
        <f t="shared" si="113"/>
        <v>NA</v>
      </c>
    </row>
    <row r="84" spans="2:28">
      <c r="C84" s="198">
        <f>C85+10</f>
        <v>14</v>
      </c>
      <c r="D84" s="201" t="str">
        <f t="shared" ref="D84:J84" si="119">VLOOKUP(D83,DegreeNameList,2,0)</f>
        <v>I</v>
      </c>
      <c r="E84" s="201" t="str">
        <f t="shared" si="119"/>
        <v>II</v>
      </c>
      <c r="F84" s="201" t="str">
        <f t="shared" si="119"/>
        <v>♭III</v>
      </c>
      <c r="G84" s="201" t="str">
        <f t="shared" si="119"/>
        <v>IV</v>
      </c>
      <c r="H84" s="201" t="str">
        <f t="shared" si="119"/>
        <v>V</v>
      </c>
      <c r="I84" s="201" t="str">
        <f t="shared" si="119"/>
        <v>VI</v>
      </c>
      <c r="J84" s="201" t="str">
        <f t="shared" si="119"/>
        <v>VII</v>
      </c>
      <c r="L84" s="4">
        <v>11</v>
      </c>
      <c r="M84" s="4" t="s">
        <v>238</v>
      </c>
      <c r="U84" s="198" t="str">
        <f t="shared" si="111"/>
        <v>F</v>
      </c>
      <c r="V84" s="198">
        <f t="shared" si="115"/>
        <v>0</v>
      </c>
      <c r="W84" s="198">
        <f t="shared" si="116"/>
        <v>0</v>
      </c>
      <c r="X84" s="198">
        <f t="shared" si="117"/>
        <v>12</v>
      </c>
      <c r="Y84" s="198" t="str">
        <f t="shared" si="118"/>
        <v/>
      </c>
      <c r="Z84" s="198" t="str">
        <f t="shared" si="112"/>
        <v/>
      </c>
      <c r="AA84" s="198" t="str">
        <f t="shared" si="112"/>
        <v>△7</v>
      </c>
      <c r="AB84" s="198" t="str">
        <f t="shared" si="113"/>
        <v>NA</v>
      </c>
    </row>
    <row r="85" spans="2:28">
      <c r="C85" s="198">
        <v>4</v>
      </c>
      <c r="D85" s="201" t="str">
        <f t="shared" ref="D85:J85" si="120">VLOOKUP($D$69+D83,NoteList,2,0)</f>
        <v>C</v>
      </c>
      <c r="E85" s="201" t="str">
        <f t="shared" si="120"/>
        <v>D</v>
      </c>
      <c r="F85" s="201" t="str">
        <f t="shared" si="120"/>
        <v>D♯</v>
      </c>
      <c r="G85" s="201" t="str">
        <f t="shared" si="120"/>
        <v>F</v>
      </c>
      <c r="H85" s="201" t="str">
        <f t="shared" si="120"/>
        <v>G</v>
      </c>
      <c r="I85" s="201" t="str">
        <f t="shared" si="120"/>
        <v>A</v>
      </c>
      <c r="J85" s="201" t="str">
        <f t="shared" si="120"/>
        <v>B</v>
      </c>
      <c r="L85" s="4">
        <v>12</v>
      </c>
      <c r="M85" s="4" t="s">
        <v>27</v>
      </c>
      <c r="U85" s="198" t="str">
        <f t="shared" si="111"/>
        <v>G</v>
      </c>
      <c r="V85" s="198">
        <f t="shared" si="115"/>
        <v>0</v>
      </c>
      <c r="W85" s="198">
        <f t="shared" si="116"/>
        <v>0</v>
      </c>
      <c r="X85" s="198">
        <f t="shared" si="117"/>
        <v>12</v>
      </c>
      <c r="Y85" s="198" t="str">
        <f t="shared" si="118"/>
        <v/>
      </c>
      <c r="Z85" s="198" t="str">
        <f t="shared" si="112"/>
        <v/>
      </c>
      <c r="AA85" s="198">
        <f t="shared" si="112"/>
        <v>7</v>
      </c>
      <c r="AB85" s="198" t="str">
        <f t="shared" si="113"/>
        <v>NA</v>
      </c>
    </row>
    <row r="86" spans="2:28">
      <c r="U86" s="198" t="str">
        <f t="shared" si="111"/>
        <v>A</v>
      </c>
      <c r="V86" s="198">
        <f t="shared" si="115"/>
        <v>0</v>
      </c>
      <c r="W86" s="198">
        <f t="shared" si="116"/>
        <v>0</v>
      </c>
      <c r="X86" s="198">
        <f t="shared" si="117"/>
        <v>12</v>
      </c>
      <c r="Y86" s="198" t="str">
        <f t="shared" si="118"/>
        <v/>
      </c>
      <c r="Z86" s="198" t="str">
        <f t="shared" si="112"/>
        <v>m</v>
      </c>
      <c r="AA86" s="198" t="str">
        <f t="shared" si="112"/>
        <v>m7</v>
      </c>
      <c r="AB86" s="198" t="str">
        <f t="shared" si="113"/>
        <v>NA</v>
      </c>
    </row>
    <row r="87" spans="2:28">
      <c r="U87" s="198" t="str">
        <f t="shared" si="111"/>
        <v>B</v>
      </c>
      <c r="V87" s="198">
        <f t="shared" si="115"/>
        <v>0</v>
      </c>
      <c r="W87" s="198">
        <f t="shared" si="116"/>
        <v>0</v>
      </c>
      <c r="X87" s="198">
        <f t="shared" si="117"/>
        <v>12</v>
      </c>
      <c r="Y87" s="198" t="str">
        <f>IF($X$76=0,"",VLOOKUP(X87,$L$46:$M$57,2,0))</f>
        <v/>
      </c>
      <c r="Z87" s="198" t="str">
        <f t="shared" si="112"/>
        <v>m(♭5)</v>
      </c>
      <c r="AA87" s="198" t="str">
        <f t="shared" si="112"/>
        <v>m7(♭5)</v>
      </c>
      <c r="AB87" s="198" t="str">
        <f t="shared" si="113"/>
        <v>NA</v>
      </c>
    </row>
    <row r="89" spans="2:28">
      <c r="E89" s="198" t="s">
        <v>107</v>
      </c>
      <c r="F89" s="198" t="s">
        <v>108</v>
      </c>
      <c r="G89" s="198"/>
      <c r="H89" s="198"/>
      <c r="I89" s="198"/>
      <c r="J89" s="198"/>
    </row>
    <row r="90" spans="2:28">
      <c r="B90" s="198"/>
      <c r="C90" s="198"/>
      <c r="D90" s="198"/>
      <c r="E90" s="198" t="str">
        <f>IF($H$46=1,E91,IF($J$45=1,E92,""))</f>
        <v/>
      </c>
      <c r="F90" s="198" t="str">
        <f>IF($H$46=1,F91,IF($J$45=1,F92,""))</f>
        <v/>
      </c>
      <c r="G90" s="198"/>
      <c r="H90" s="198"/>
      <c r="I90" s="198"/>
      <c r="J90" s="198"/>
    </row>
    <row r="91" spans="2:28">
      <c r="B91" s="198"/>
      <c r="C91" s="198"/>
      <c r="D91" s="198"/>
      <c r="E91" s="198" t="str">
        <f>IF(OR(AM47="",AM47=0),"",AM47)</f>
        <v/>
      </c>
      <c r="F91" s="198" t="str">
        <f>IF(OR(AM52="",AM52=0),"",AP47)</f>
        <v/>
      </c>
      <c r="G91" s="198"/>
      <c r="H91" s="198"/>
      <c r="I91" s="204" t="s">
        <v>387</v>
      </c>
      <c r="J91" s="201">
        <f>IF($H$46=1,1,0)</f>
        <v>0</v>
      </c>
    </row>
    <row r="92" spans="2:28">
      <c r="B92" s="198"/>
      <c r="C92" s="198"/>
      <c r="D92" s="198"/>
      <c r="E92" s="198" t="str">
        <f>D58&amp;" "&amp;H92</f>
        <v>C Major</v>
      </c>
      <c r="F92" s="198" t="str">
        <f>CS32</f>
        <v>Pentatonic Scale</v>
      </c>
      <c r="G92" s="198"/>
      <c r="H92" s="198" t="str">
        <f>IF(H10=1,CS10,IF(H10=2,CS11,""))</f>
        <v>Major</v>
      </c>
      <c r="I92" s="198"/>
      <c r="J92" s="198"/>
    </row>
    <row r="97" spans="3:10">
      <c r="C97" s="204" t="s">
        <v>150</v>
      </c>
      <c r="D97" s="201" t="str">
        <f t="shared" ref="D97:J97" si="121">IF(OR(D47="",D47=0),"",D47)</f>
        <v>C</v>
      </c>
      <c r="E97" s="201" t="str">
        <f t="shared" si="121"/>
        <v>D</v>
      </c>
      <c r="F97" s="201" t="str">
        <f t="shared" si="121"/>
        <v>E</v>
      </c>
      <c r="G97" s="201" t="str">
        <f t="shared" si="121"/>
        <v>F</v>
      </c>
      <c r="H97" s="201" t="str">
        <f t="shared" si="121"/>
        <v>G</v>
      </c>
      <c r="I97" s="201" t="str">
        <f t="shared" si="121"/>
        <v>A</v>
      </c>
      <c r="J97" s="201" t="str">
        <f t="shared" si="121"/>
        <v>B</v>
      </c>
    </row>
    <row r="100" spans="3:10">
      <c r="C100" s="204" t="s">
        <v>151</v>
      </c>
      <c r="D100" s="201" t="str">
        <f t="shared" ref="D100:J100" si="122">IF($H$46=1,"",IF(OR(D58="",D58=0),"",D58))</f>
        <v>C</v>
      </c>
      <c r="E100" s="201" t="str">
        <f>IF($H$46=1,"",IF(OR(E58="",E58=0),"",E58))</f>
        <v>D</v>
      </c>
      <c r="F100" s="201" t="str">
        <f t="shared" si="122"/>
        <v>E</v>
      </c>
      <c r="G100" s="201" t="str">
        <f t="shared" si="122"/>
        <v/>
      </c>
      <c r="H100" s="201" t="str">
        <f t="shared" si="122"/>
        <v>G</v>
      </c>
      <c r="I100" s="201" t="str">
        <f t="shared" si="122"/>
        <v>A</v>
      </c>
      <c r="J100" s="201" t="str">
        <f t="shared" si="122"/>
        <v/>
      </c>
    </row>
    <row r="105" spans="3:10">
      <c r="C105" s="204" t="s">
        <v>152</v>
      </c>
      <c r="D105" s="201" t="str">
        <f>IF(OR(D55="",D55=0),"",D55)</f>
        <v>C</v>
      </c>
      <c r="E105" s="201"/>
      <c r="F105" s="201"/>
      <c r="G105" s="201"/>
      <c r="H105" s="201"/>
      <c r="I105" s="201"/>
      <c r="J105" s="201"/>
    </row>
    <row r="108" spans="3:10">
      <c r="C108" s="204" t="s">
        <v>153</v>
      </c>
      <c r="D108" s="201"/>
      <c r="E108" s="201" t="str">
        <f t="shared" ref="E108:J108" si="123">IF(OR(E58="",E58=0),"",E58)</f>
        <v>D</v>
      </c>
      <c r="F108" s="201" t="str">
        <f t="shared" si="123"/>
        <v>E</v>
      </c>
      <c r="G108" s="201" t="str">
        <f t="shared" si="123"/>
        <v/>
      </c>
      <c r="H108" s="201" t="str">
        <f t="shared" si="123"/>
        <v>G</v>
      </c>
      <c r="I108" s="201" t="str">
        <f t="shared" si="123"/>
        <v>A</v>
      </c>
      <c r="J108" s="201" t="str">
        <f t="shared" si="123"/>
        <v/>
      </c>
    </row>
    <row r="111" spans="3:10">
      <c r="C111" s="198">
        <v>0</v>
      </c>
      <c r="D111" s="198" t="str">
        <f>CS35</f>
        <v>Diatonic Scale</v>
      </c>
      <c r="G111" s="198">
        <v>0</v>
      </c>
      <c r="H111" s="198" t="str">
        <f>CS41</f>
        <v>Diatonic Chords</v>
      </c>
    </row>
    <row r="112" spans="3:10">
      <c r="C112" s="198">
        <v>1</v>
      </c>
      <c r="D112" s="198" t="str">
        <f>CS36</f>
        <v>Major Diatonic Scale</v>
      </c>
      <c r="G112" s="198">
        <v>1</v>
      </c>
      <c r="H112" s="198" t="str">
        <f>CS42</f>
        <v>Major Diatonic Chords</v>
      </c>
    </row>
    <row r="113" spans="3:8">
      <c r="C113" s="198">
        <v>2</v>
      </c>
      <c r="D113" s="198" t="str">
        <f>CS37</f>
        <v>Natural minor Scale</v>
      </c>
      <c r="G113" s="198">
        <v>2</v>
      </c>
      <c r="H113" s="198" t="str">
        <f>CS43</f>
        <v>Natural minor Diatonic Chords</v>
      </c>
    </row>
    <row r="114" spans="3:8">
      <c r="C114" s="198">
        <v>3</v>
      </c>
      <c r="D114" s="198" t="str">
        <f>CS38</f>
        <v>Harmonic minor Scale</v>
      </c>
      <c r="G114" s="198">
        <v>3</v>
      </c>
      <c r="H114" s="198" t="str">
        <f>CS44</f>
        <v>Harmonic minor Diatonic Chords</v>
      </c>
    </row>
    <row r="115" spans="3:8">
      <c r="C115" s="198">
        <v>4</v>
      </c>
      <c r="D115" s="198" t="str">
        <f>CS39</f>
        <v>Melodic minor Scale</v>
      </c>
      <c r="G115" s="198">
        <v>4</v>
      </c>
      <c r="H115" s="198" t="str">
        <f>CS45</f>
        <v>Melodic minor Diatonic Chords</v>
      </c>
    </row>
    <row r="116" spans="3:8">
      <c r="C116" s="198" t="s">
        <v>401</v>
      </c>
      <c r="D116" s="198">
        <f>D68</f>
        <v>1</v>
      </c>
      <c r="G116" s="198" t="s">
        <v>401</v>
      </c>
      <c r="H116" s="198">
        <f>D68</f>
        <v>1</v>
      </c>
    </row>
    <row r="117" spans="3:8">
      <c r="C117" s="198" t="s">
        <v>401</v>
      </c>
      <c r="D117" s="198" t="str">
        <f>IF(OR(D116&lt;0,D116&gt;4,D116=""),0,VLOOKUP(D116,C111:D115,2,0))</f>
        <v>Major Diatonic Scale</v>
      </c>
      <c r="G117" s="198" t="s">
        <v>401</v>
      </c>
      <c r="H117" s="198" t="str">
        <f>IF(OR(H116&lt;0,H116&gt;4,H116=""),0,VLOOKUP(H116,G111:H115,2,0))</f>
        <v>Major Diatonic Chords</v>
      </c>
    </row>
    <row r="118" spans="3:8">
      <c r="C118" s="198" t="s">
        <v>401</v>
      </c>
      <c r="D118" s="198" t="str">
        <f>IF(D55=D73,"",D55)</f>
        <v>C</v>
      </c>
      <c r="G118" s="198" t="s">
        <v>401</v>
      </c>
      <c r="H118" s="198" t="str">
        <f>IF(D55=D73,"",D55)</f>
        <v>C</v>
      </c>
    </row>
    <row r="119" spans="3:8">
      <c r="C119" s="198" t="s">
        <v>401</v>
      </c>
      <c r="D119" s="198" t="str">
        <f>" "&amp;D118&amp;" "&amp;D117</f>
        <v xml:space="preserve"> C Major Diatonic Scale</v>
      </c>
      <c r="G119" s="198" t="s">
        <v>401</v>
      </c>
      <c r="H119" s="198" t="str">
        <f>" "&amp;H118&amp;" "&amp;H117</f>
        <v xml:space="preserve"> C Major Diatonic Chords</v>
      </c>
    </row>
  </sheetData>
  <sheetProtection algorithmName="SHA-512" hashValue="LtBKeXCtS5qgX+1eLDlPFNeXArhUUXm4GYW8ZJpiHqWuGFgg/pSIR4OHdrnwFq/voymzTGBbur9CPnoH7HTB2A==" saltValue="LJedOegl2PWcM8QlZE+n4g==" spinCount="100000" sheet="1" objects="1" scenarios="1" selectLockedCells="1" selectUnlockedCells="1"/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49</vt:i4>
      </vt:variant>
    </vt:vector>
  </HeadingPairs>
  <TitlesOfParts>
    <vt:vector size="52" baseType="lpstr">
      <vt:lpstr>Diatonic Chart</vt:lpstr>
      <vt:lpstr>Key List</vt:lpstr>
      <vt:lpstr>CalculationSheet</vt:lpstr>
      <vt:lpstr>CapoF</vt:lpstr>
      <vt:lpstr>CapoList</vt:lpstr>
      <vt:lpstr>ChordON</vt:lpstr>
      <vt:lpstr>ChordTone</vt:lpstr>
      <vt:lpstr>ChordToneEtc</vt:lpstr>
      <vt:lpstr>DegreeNameList</vt:lpstr>
      <vt:lpstr>DegreeNameList2</vt:lpstr>
      <vt:lpstr>DiatonicScale</vt:lpstr>
      <vt:lpstr>DshmEflm</vt:lpstr>
      <vt:lpstr>FshGfl</vt:lpstr>
      <vt:lpstr>grayout01</vt:lpstr>
      <vt:lpstr>grayout02</vt:lpstr>
      <vt:lpstr>grayout03</vt:lpstr>
      <vt:lpstr>grayout04</vt:lpstr>
      <vt:lpstr>HPFontColor</vt:lpstr>
      <vt:lpstr>Key1List</vt:lpstr>
      <vt:lpstr>key1No</vt:lpstr>
      <vt:lpstr>Key2List</vt:lpstr>
      <vt:lpstr>Lang00</vt:lpstr>
      <vt:lpstr>Lang01</vt:lpstr>
      <vt:lpstr>Lang02</vt:lpstr>
      <vt:lpstr>Lang03</vt:lpstr>
      <vt:lpstr>Lang04</vt:lpstr>
      <vt:lpstr>Language</vt:lpstr>
      <vt:lpstr>Minorshu</vt:lpstr>
      <vt:lpstr>NoteList</vt:lpstr>
      <vt:lpstr>PentaColorCH</vt:lpstr>
      <vt:lpstr>PentaColorFB</vt:lpstr>
      <vt:lpstr>PentaON</vt:lpstr>
      <vt:lpstr>PentaScale</vt:lpstr>
      <vt:lpstr>PentaSW</vt:lpstr>
      <vt:lpstr>'Diatonic Chart'!Print_Area</vt:lpstr>
      <vt:lpstr>'Key List'!Print_Area</vt:lpstr>
      <vt:lpstr>RegtunGt1</vt:lpstr>
      <vt:lpstr>RegtunGt2</vt:lpstr>
      <vt:lpstr>RegtunGt3</vt:lpstr>
      <vt:lpstr>RegtunGt4</vt:lpstr>
      <vt:lpstr>RegtunGt5</vt:lpstr>
      <vt:lpstr>RegtunGt6</vt:lpstr>
      <vt:lpstr>RegtunUk1</vt:lpstr>
      <vt:lpstr>RegtunUk2</vt:lpstr>
      <vt:lpstr>RegtunUk3</vt:lpstr>
      <vt:lpstr>RegtunUk4</vt:lpstr>
      <vt:lpstr>RootColorCH</vt:lpstr>
      <vt:lpstr>RootColorFB</vt:lpstr>
      <vt:lpstr>ScaleList</vt:lpstr>
      <vt:lpstr>Triads7th</vt:lpstr>
      <vt:lpstr>TuningList</vt:lpstr>
      <vt:lpstr>UKPmark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MimicopiOtasukeDiatonicChart 1.0-TrialVersion-</dc:title>
  <dc:creator>Kouji Nishimoto</dc:creator>
  <cp:lastModifiedBy>Kouji Nishimoto</cp:lastModifiedBy>
  <cp:lastPrinted>2025-01-19T13:46:08Z</cp:lastPrinted>
  <dcterms:created xsi:type="dcterms:W3CDTF">2023-11-03T12:55:53Z</dcterms:created>
  <dcterms:modified xsi:type="dcterms:W3CDTF">2025-02-24T06:07:57Z</dcterms:modified>
</cp:coreProperties>
</file>